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ottb\Documents\GoodsUniteUs\"/>
    </mc:Choice>
  </mc:AlternateContent>
  <xr:revisionPtr revIDLastSave="0" documentId="13_ncr:1_{2ABFDAA6-D780-4FDA-AB3A-9F7BFCEFEF92}" xr6:coauthVersionLast="46" xr6:coauthVersionMax="47" xr10:uidLastSave="{00000000-0000-0000-0000-000000000000}"/>
  <bookViews>
    <workbookView xWindow="-110" yWindow="-110" windowWidth="19420" windowHeight="10420" tabRatio="528" activeTab="2" xr2:uid="{B23DF8F9-DC43-468C-B5D7-F0661EF3969B}"/>
  </bookViews>
  <sheets>
    <sheet name="DEMS" sheetId="2" r:id="rId1"/>
    <sheet name="REPUBS" sheetId="4" r:id="rId2"/>
    <sheet name="RESULTS" sheetId="5" r:id="rId3"/>
    <sheet name="Not Included" sheetId="6" state="hidden" r:id="rId4"/>
    <sheet name="D" sheetId="7" state="hidden" r:id="rId5"/>
    <sheet name="R" sheetId="8" state="hidden" r:id="rId6"/>
    <sheet name="NI" sheetId="9" state="hidden" r:id="rId7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5" l="1"/>
  <c r="G10" i="5"/>
  <c r="G9" i="5"/>
  <c r="P3" i="4"/>
  <c r="X3" i="4"/>
  <c r="S3" i="4"/>
  <c r="AA3" i="4"/>
  <c r="R3" i="4"/>
  <c r="Z3" i="4"/>
  <c r="Q3" i="4"/>
  <c r="Y3" i="4"/>
  <c r="O3" i="4"/>
  <c r="W3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4" i="4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D277" i="8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4" i="2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D213" i="7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" i="6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4" i="4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" i="9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" i="8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" i="7"/>
  <c r="F22" i="5"/>
  <c r="E22" i="5"/>
  <c r="C8" i="5"/>
  <c r="D8" i="5"/>
  <c r="E8" i="5"/>
  <c r="F8" i="5"/>
  <c r="B8" i="5"/>
  <c r="D2" i="5"/>
  <c r="E2" i="5"/>
  <c r="F2" i="5"/>
  <c r="C2" i="5"/>
  <c r="V164" i="4"/>
  <c r="W164" i="4"/>
  <c r="V145" i="4"/>
  <c r="W145" i="4"/>
  <c r="V129" i="4"/>
  <c r="W129" i="4"/>
  <c r="V113" i="4"/>
  <c r="W113" i="4"/>
  <c r="V105" i="4"/>
  <c r="AA105" i="4"/>
  <c r="V101" i="4"/>
  <c r="AA101" i="4"/>
  <c r="V97" i="4"/>
  <c r="AA97" i="4"/>
  <c r="V94" i="4"/>
  <c r="Z94" i="4"/>
  <c r="V77" i="4"/>
  <c r="W77" i="4"/>
  <c r="V76" i="4"/>
  <c r="X76" i="4"/>
  <c r="V73" i="4"/>
  <c r="W73" i="4"/>
  <c r="V72" i="4"/>
  <c r="X72" i="4"/>
  <c r="V69" i="4"/>
  <c r="W69" i="4"/>
  <c r="V68" i="4"/>
  <c r="X68" i="4"/>
  <c r="V65" i="4"/>
  <c r="W65" i="4"/>
  <c r="V64" i="4"/>
  <c r="X64" i="4"/>
  <c r="V62" i="4"/>
  <c r="Z62" i="4"/>
  <c r="V61" i="4"/>
  <c r="AA61" i="4"/>
  <c r="W61" i="4"/>
  <c r="V57" i="4"/>
  <c r="AA57" i="4"/>
  <c r="W57" i="4"/>
  <c r="V53" i="4"/>
  <c r="AA53" i="4"/>
  <c r="W53" i="4"/>
  <c r="V49" i="4"/>
  <c r="AA49" i="4"/>
  <c r="W49" i="4"/>
  <c r="V46" i="4"/>
  <c r="Z46" i="4"/>
  <c r="V45" i="4"/>
  <c r="AA45" i="4"/>
  <c r="V41" i="4"/>
  <c r="AA41" i="4"/>
  <c r="V37" i="4"/>
  <c r="AA37" i="4"/>
  <c r="V33" i="4"/>
  <c r="AA33" i="4"/>
  <c r="V30" i="4"/>
  <c r="Z30" i="4"/>
  <c r="V13" i="4"/>
  <c r="W13" i="4"/>
  <c r="V12" i="4"/>
  <c r="X12" i="4"/>
  <c r="V9" i="4"/>
  <c r="W9" i="4"/>
  <c r="V8" i="4"/>
  <c r="X8" i="4"/>
  <c r="V5" i="4"/>
  <c r="W5" i="4"/>
  <c r="V4" i="4"/>
  <c r="X4" i="4"/>
  <c r="V278" i="4"/>
  <c r="V277" i="4"/>
  <c r="V276" i="4"/>
  <c r="V275" i="4"/>
  <c r="V274" i="4"/>
  <c r="V273" i="4"/>
  <c r="V272" i="4"/>
  <c r="V271" i="4"/>
  <c r="V270" i="4"/>
  <c r="V269" i="4"/>
  <c r="V268" i="4"/>
  <c r="V267" i="4"/>
  <c r="V266" i="4"/>
  <c r="V265" i="4"/>
  <c r="V264" i="4"/>
  <c r="V263" i="4"/>
  <c r="V262" i="4"/>
  <c r="V261" i="4"/>
  <c r="V260" i="4"/>
  <c r="V259" i="4"/>
  <c r="V258" i="4"/>
  <c r="V257" i="4"/>
  <c r="V256" i="4"/>
  <c r="V255" i="4"/>
  <c r="V254" i="4"/>
  <c r="V253" i="4"/>
  <c r="Y253" i="4"/>
  <c r="V252" i="4"/>
  <c r="V251" i="4"/>
  <c r="V250" i="4"/>
  <c r="V249" i="4"/>
  <c r="V248" i="4"/>
  <c r="V247" i="4"/>
  <c r="V246" i="4"/>
  <c r="V245" i="4"/>
  <c r="V244" i="4"/>
  <c r="V243" i="4"/>
  <c r="V242" i="4"/>
  <c r="V241" i="4"/>
  <c r="V240" i="4"/>
  <c r="Z240" i="4"/>
  <c r="V239" i="4"/>
  <c r="V238" i="4"/>
  <c r="V237" i="4"/>
  <c r="V236" i="4"/>
  <c r="V235" i="4"/>
  <c r="V234" i="4"/>
  <c r="V233" i="4"/>
  <c r="V232" i="4"/>
  <c r="V231" i="4"/>
  <c r="V230" i="4"/>
  <c r="V229" i="4"/>
  <c r="V228" i="4"/>
  <c r="V227" i="4"/>
  <c r="AA227" i="4"/>
  <c r="V226" i="4"/>
  <c r="V225" i="4"/>
  <c r="V224" i="4"/>
  <c r="V223" i="4"/>
  <c r="V222" i="4"/>
  <c r="V221" i="4"/>
  <c r="V220" i="4"/>
  <c r="V219" i="4"/>
  <c r="V218" i="4"/>
  <c r="V217" i="4"/>
  <c r="V216" i="4"/>
  <c r="V215" i="4"/>
  <c r="V214" i="4"/>
  <c r="V213" i="4"/>
  <c r="V212" i="4"/>
  <c r="V211" i="4"/>
  <c r="V210" i="4"/>
  <c r="V209" i="4"/>
  <c r="V208" i="4"/>
  <c r="V207" i="4"/>
  <c r="V206" i="4"/>
  <c r="V205" i="4"/>
  <c r="Z205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AA192" i="4"/>
  <c r="V191" i="4"/>
  <c r="V190" i="4"/>
  <c r="V189" i="4"/>
  <c r="Z189" i="4"/>
  <c r="V188" i="4"/>
  <c r="V187" i="4"/>
  <c r="V186" i="4"/>
  <c r="V185" i="4"/>
  <c r="V184" i="4"/>
  <c r="V183" i="4"/>
  <c r="V182" i="4"/>
  <c r="V181" i="4"/>
  <c r="V180" i="4"/>
  <c r="W180" i="4"/>
  <c r="V179" i="4"/>
  <c r="V178" i="4"/>
  <c r="V177" i="4"/>
  <c r="V176" i="4"/>
  <c r="AA176" i="4"/>
  <c r="V175" i="4"/>
  <c r="V174" i="4"/>
  <c r="V173" i="4"/>
  <c r="V172" i="4"/>
  <c r="V171" i="4"/>
  <c r="V170" i="4"/>
  <c r="V169" i="4"/>
  <c r="V168" i="4"/>
  <c r="V167" i="4"/>
  <c r="V166" i="4"/>
  <c r="V165" i="4"/>
  <c r="V163" i="4"/>
  <c r="V162" i="4"/>
  <c r="V161" i="4"/>
  <c r="V160" i="4"/>
  <c r="V159" i="4"/>
  <c r="V158" i="4"/>
  <c r="V157" i="4"/>
  <c r="AA157" i="4"/>
  <c r="V156" i="4"/>
  <c r="V155" i="4"/>
  <c r="V154" i="4"/>
  <c r="V153" i="4"/>
  <c r="W153" i="4"/>
  <c r="V152" i="4"/>
  <c r="X152" i="4"/>
  <c r="V151" i="4"/>
  <c r="Y151" i="4"/>
  <c r="V150" i="4"/>
  <c r="V149" i="4"/>
  <c r="AA149" i="4"/>
  <c r="V148" i="4"/>
  <c r="X148" i="4"/>
  <c r="V147" i="4"/>
  <c r="V146" i="4"/>
  <c r="AA145" i="4"/>
  <c r="V144" i="4"/>
  <c r="V143" i="4"/>
  <c r="V142" i="4"/>
  <c r="V141" i="4"/>
  <c r="AA141" i="4"/>
  <c r="V140" i="4"/>
  <c r="V139" i="4"/>
  <c r="V138" i="4"/>
  <c r="V137" i="4"/>
  <c r="W137" i="4"/>
  <c r="V136" i="4"/>
  <c r="X136" i="4"/>
  <c r="V135" i="4"/>
  <c r="Y135" i="4"/>
  <c r="V134" i="4"/>
  <c r="V133" i="4"/>
  <c r="AA133" i="4"/>
  <c r="V132" i="4"/>
  <c r="X132" i="4"/>
  <c r="V131" i="4"/>
  <c r="V130" i="4"/>
  <c r="AA129" i="4"/>
  <c r="V128" i="4"/>
  <c r="V127" i="4"/>
  <c r="V126" i="4"/>
  <c r="V125" i="4"/>
  <c r="AA125" i="4"/>
  <c r="V124" i="4"/>
  <c r="V123" i="4"/>
  <c r="V122" i="4"/>
  <c r="Z122" i="4"/>
  <c r="V121" i="4"/>
  <c r="W121" i="4"/>
  <c r="V120" i="4"/>
  <c r="X120" i="4"/>
  <c r="V119" i="4"/>
  <c r="Y119" i="4"/>
  <c r="V118" i="4"/>
  <c r="V117" i="4"/>
  <c r="AA117" i="4"/>
  <c r="V116" i="4"/>
  <c r="X116" i="4"/>
  <c r="V115" i="4"/>
  <c r="V114" i="4"/>
  <c r="AA113" i="4"/>
  <c r="V112" i="4"/>
  <c r="V111" i="4"/>
  <c r="V110" i="4"/>
  <c r="V109" i="4"/>
  <c r="AA109" i="4"/>
  <c r="V108" i="4"/>
  <c r="AA108" i="4"/>
  <c r="V107" i="4"/>
  <c r="X107" i="4"/>
  <c r="V106" i="4"/>
  <c r="Z105" i="4"/>
  <c r="V104" i="4"/>
  <c r="AA104" i="4"/>
  <c r="V103" i="4"/>
  <c r="X103" i="4"/>
  <c r="V102" i="4"/>
  <c r="Z102" i="4"/>
  <c r="Z101" i="4"/>
  <c r="V100" i="4"/>
  <c r="AA100" i="4"/>
  <c r="V99" i="4"/>
  <c r="X99" i="4"/>
  <c r="V98" i="4"/>
  <c r="Z98" i="4"/>
  <c r="Z97" i="4"/>
  <c r="V96" i="4"/>
  <c r="AA96" i="4"/>
  <c r="V95" i="4"/>
  <c r="X95" i="4"/>
  <c r="V93" i="4"/>
  <c r="Z93" i="4"/>
  <c r="V92" i="4"/>
  <c r="AA92" i="4"/>
  <c r="V91" i="4"/>
  <c r="X91" i="4"/>
  <c r="V90" i="4"/>
  <c r="V89" i="4"/>
  <c r="Z89" i="4"/>
  <c r="V88" i="4"/>
  <c r="AA88" i="4"/>
  <c r="V87" i="4"/>
  <c r="X87" i="4"/>
  <c r="V86" i="4"/>
  <c r="Z86" i="4"/>
  <c r="V85" i="4"/>
  <c r="Z85" i="4"/>
  <c r="V84" i="4"/>
  <c r="AA84" i="4"/>
  <c r="V83" i="4"/>
  <c r="X83" i="4"/>
  <c r="V82" i="4"/>
  <c r="Z82" i="4"/>
  <c r="V81" i="4"/>
  <c r="Z81" i="4"/>
  <c r="V80" i="4"/>
  <c r="AA80" i="4"/>
  <c r="V79" i="4"/>
  <c r="X79" i="4"/>
  <c r="V78" i="4"/>
  <c r="Z78" i="4"/>
  <c r="Z77" i="4"/>
  <c r="AA76" i="4"/>
  <c r="V75" i="4"/>
  <c r="X75" i="4"/>
  <c r="V74" i="4"/>
  <c r="Z73" i="4"/>
  <c r="AA72" i="4"/>
  <c r="V71" i="4"/>
  <c r="X71" i="4"/>
  <c r="V70" i="4"/>
  <c r="Z70" i="4"/>
  <c r="Z69" i="4"/>
  <c r="AA68" i="4"/>
  <c r="V67" i="4"/>
  <c r="X67" i="4"/>
  <c r="V66" i="4"/>
  <c r="Z66" i="4"/>
  <c r="Z65" i="4"/>
  <c r="AA64" i="4"/>
  <c r="V63" i="4"/>
  <c r="X63" i="4"/>
  <c r="Z61" i="4"/>
  <c r="V60" i="4"/>
  <c r="AA60" i="4"/>
  <c r="V59" i="4"/>
  <c r="X59" i="4"/>
  <c r="V58" i="4"/>
  <c r="Z57" i="4"/>
  <c r="V56" i="4"/>
  <c r="AA56" i="4"/>
  <c r="V55" i="4"/>
  <c r="X55" i="4"/>
  <c r="V54" i="4"/>
  <c r="Z54" i="4"/>
  <c r="Z53" i="4"/>
  <c r="V52" i="4"/>
  <c r="AA52" i="4"/>
  <c r="V51" i="4"/>
  <c r="X51" i="4"/>
  <c r="V50" i="4"/>
  <c r="Z50" i="4"/>
  <c r="Z49" i="4"/>
  <c r="V48" i="4"/>
  <c r="AA48" i="4"/>
  <c r="V47" i="4"/>
  <c r="X47" i="4"/>
  <c r="Z45" i="4"/>
  <c r="V44" i="4"/>
  <c r="AA44" i="4"/>
  <c r="V43" i="4"/>
  <c r="X43" i="4"/>
  <c r="V42" i="4"/>
  <c r="Z41" i="4"/>
  <c r="V40" i="4"/>
  <c r="AA40" i="4"/>
  <c r="V39" i="4"/>
  <c r="X39" i="4"/>
  <c r="V38" i="4"/>
  <c r="Z38" i="4"/>
  <c r="Z37" i="4"/>
  <c r="V36" i="4"/>
  <c r="AA36" i="4"/>
  <c r="V35" i="4"/>
  <c r="X35" i="4"/>
  <c r="V34" i="4"/>
  <c r="Z34" i="4"/>
  <c r="Z33" i="4"/>
  <c r="V32" i="4"/>
  <c r="AA32" i="4"/>
  <c r="V31" i="4"/>
  <c r="X31" i="4"/>
  <c r="V29" i="4"/>
  <c r="Z29" i="4"/>
  <c r="V28" i="4"/>
  <c r="AA28" i="4"/>
  <c r="V27" i="4"/>
  <c r="X27" i="4"/>
  <c r="V26" i="4"/>
  <c r="V25" i="4"/>
  <c r="Z25" i="4"/>
  <c r="V24" i="4"/>
  <c r="AA24" i="4"/>
  <c r="V23" i="4"/>
  <c r="X23" i="4"/>
  <c r="V22" i="4"/>
  <c r="Z22" i="4"/>
  <c r="V21" i="4"/>
  <c r="Z21" i="4"/>
  <c r="V20" i="4"/>
  <c r="AA20" i="4"/>
  <c r="V19" i="4"/>
  <c r="X19" i="4"/>
  <c r="V18" i="4"/>
  <c r="Z18" i="4"/>
  <c r="V17" i="4"/>
  <c r="Z17" i="4"/>
  <c r="V16" i="4"/>
  <c r="AA16" i="4"/>
  <c r="V15" i="4"/>
  <c r="X15" i="4"/>
  <c r="V14" i="4"/>
  <c r="Z14" i="4"/>
  <c r="Z13" i="4"/>
  <c r="AA12" i="4"/>
  <c r="V11" i="4"/>
  <c r="X11" i="4"/>
  <c r="V10" i="4"/>
  <c r="Z9" i="4"/>
  <c r="AA8" i="4"/>
  <c r="V7" i="4"/>
  <c r="X7" i="4"/>
  <c r="V6" i="4"/>
  <c r="Z6" i="4"/>
  <c r="Z5" i="4"/>
  <c r="AA4" i="4"/>
  <c r="F280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V5" i="2"/>
  <c r="X5" i="2"/>
  <c r="V214" i="2"/>
  <c r="V213" i="2"/>
  <c r="V212" i="2"/>
  <c r="V211" i="2"/>
  <c r="V210" i="2"/>
  <c r="V209" i="2"/>
  <c r="V208" i="2"/>
  <c r="V207" i="2"/>
  <c r="Y207" i="2"/>
  <c r="V206" i="2"/>
  <c r="V205" i="2"/>
  <c r="AA205" i="2"/>
  <c r="V204" i="2"/>
  <c r="X204" i="2"/>
  <c r="V203" i="2"/>
  <c r="V202" i="2"/>
  <c r="Z202" i="2"/>
  <c r="V201" i="2"/>
  <c r="V200" i="2"/>
  <c r="V199" i="2"/>
  <c r="V198" i="2"/>
  <c r="V197" i="2"/>
  <c r="V196" i="2"/>
  <c r="V195" i="2"/>
  <c r="V194" i="2"/>
  <c r="V193" i="2"/>
  <c r="W193" i="2"/>
  <c r="V192" i="2"/>
  <c r="V191" i="2"/>
  <c r="Y191" i="2"/>
  <c r="V190" i="2"/>
  <c r="V189" i="2"/>
  <c r="AA189" i="2"/>
  <c r="V188" i="2"/>
  <c r="V187" i="2"/>
  <c r="V186" i="2"/>
  <c r="V185" i="2"/>
  <c r="V184" i="2"/>
  <c r="V183" i="2"/>
  <c r="Y183" i="2"/>
  <c r="V182" i="2"/>
  <c r="V181" i="2"/>
  <c r="AA181" i="2"/>
  <c r="V180" i="2"/>
  <c r="X180" i="2"/>
  <c r="V179" i="2"/>
  <c r="V178" i="2"/>
  <c r="V177" i="2"/>
  <c r="V176" i="2"/>
  <c r="V175" i="2"/>
  <c r="V174" i="2"/>
  <c r="V173" i="2"/>
  <c r="V172" i="2"/>
  <c r="V171" i="2"/>
  <c r="V170" i="2"/>
  <c r="V169" i="2"/>
  <c r="V168" i="2"/>
  <c r="V167" i="2"/>
  <c r="Y167" i="2"/>
  <c r="V166" i="2"/>
  <c r="V165" i="2"/>
  <c r="AA165" i="2"/>
  <c r="V164" i="2"/>
  <c r="X164" i="2"/>
  <c r="V163" i="2"/>
  <c r="V162" i="2"/>
  <c r="V161" i="2"/>
  <c r="V160" i="2"/>
  <c r="V159" i="2"/>
  <c r="Y159" i="2"/>
  <c r="V158" i="2"/>
  <c r="V157" i="2"/>
  <c r="V156" i="2"/>
  <c r="V155" i="2"/>
  <c r="V154" i="2"/>
  <c r="Z154" i="2"/>
  <c r="V153" i="2"/>
  <c r="V152" i="2"/>
  <c r="V151" i="2"/>
  <c r="Y151" i="2"/>
  <c r="V150" i="2"/>
  <c r="V149" i="2"/>
  <c r="V148" i="2"/>
  <c r="V147" i="2"/>
  <c r="V146" i="2"/>
  <c r="V145" i="2"/>
  <c r="V144" i="2"/>
  <c r="V143" i="2"/>
  <c r="Y143" i="2"/>
  <c r="V142" i="2"/>
  <c r="V141" i="2"/>
  <c r="AA141" i="2"/>
  <c r="V140" i="2"/>
  <c r="X140" i="2"/>
  <c r="V139" i="2"/>
  <c r="V138" i="2"/>
  <c r="Z138" i="2"/>
  <c r="V137" i="2"/>
  <c r="V136" i="2"/>
  <c r="V135" i="2"/>
  <c r="V134" i="2"/>
  <c r="V133" i="2"/>
  <c r="V132" i="2"/>
  <c r="V131" i="2"/>
  <c r="V130" i="2"/>
  <c r="V129" i="2"/>
  <c r="W129" i="2"/>
  <c r="V128" i="2"/>
  <c r="V127" i="2"/>
  <c r="Y127" i="2"/>
  <c r="V126" i="2"/>
  <c r="V125" i="2"/>
  <c r="AA125" i="2"/>
  <c r="V124" i="2"/>
  <c r="V123" i="2"/>
  <c r="V122" i="2"/>
  <c r="V121" i="2"/>
  <c r="V120" i="2"/>
  <c r="V119" i="2"/>
  <c r="Y119" i="2"/>
  <c r="V118" i="2"/>
  <c r="V117" i="2"/>
  <c r="AA117" i="2"/>
  <c r="V116" i="2"/>
  <c r="X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Y103" i="2"/>
  <c r="V102" i="2"/>
  <c r="V101" i="2"/>
  <c r="AA101" i="2"/>
  <c r="V100" i="2"/>
  <c r="X100" i="2"/>
  <c r="V99" i="2"/>
  <c r="V98" i="2"/>
  <c r="V97" i="2"/>
  <c r="V96" i="2"/>
  <c r="V95" i="2"/>
  <c r="Y95" i="2"/>
  <c r="V94" i="2"/>
  <c r="V93" i="2"/>
  <c r="V92" i="2"/>
  <c r="V91" i="2"/>
  <c r="V90" i="2"/>
  <c r="Z90" i="2"/>
  <c r="V89" i="2"/>
  <c r="V88" i="2"/>
  <c r="V87" i="2"/>
  <c r="Y87" i="2"/>
  <c r="V86" i="2"/>
  <c r="V85" i="2"/>
  <c r="V84" i="2"/>
  <c r="V83" i="2"/>
  <c r="V82" i="2"/>
  <c r="V81" i="2"/>
  <c r="V80" i="2"/>
  <c r="V79" i="2"/>
  <c r="Y79" i="2"/>
  <c r="V78" i="2"/>
  <c r="X78" i="2"/>
  <c r="V77" i="2"/>
  <c r="AA77" i="2"/>
  <c r="V76" i="2"/>
  <c r="Z76" i="2"/>
  <c r="V75" i="2"/>
  <c r="W75" i="2"/>
  <c r="V74" i="2"/>
  <c r="AA74" i="2"/>
  <c r="V73" i="2"/>
  <c r="Y73" i="2"/>
  <c r="V72" i="2"/>
  <c r="AA72" i="2"/>
  <c r="V71" i="2"/>
  <c r="AA71" i="2"/>
  <c r="V70" i="2"/>
  <c r="X70" i="2"/>
  <c r="V69" i="2"/>
  <c r="AA69" i="2"/>
  <c r="V68" i="2"/>
  <c r="Z68" i="2"/>
  <c r="V67" i="2"/>
  <c r="W67" i="2"/>
  <c r="V66" i="2"/>
  <c r="AA66" i="2"/>
  <c r="V65" i="2"/>
  <c r="Y65" i="2"/>
  <c r="V64" i="2"/>
  <c r="AA64" i="2"/>
  <c r="V63" i="2"/>
  <c r="AA63" i="2"/>
  <c r="V62" i="2"/>
  <c r="X62" i="2"/>
  <c r="V61" i="2"/>
  <c r="AA61" i="2"/>
  <c r="V60" i="2"/>
  <c r="Z60" i="2"/>
  <c r="V59" i="2"/>
  <c r="W59" i="2"/>
  <c r="V58" i="2"/>
  <c r="AA58" i="2"/>
  <c r="V57" i="2"/>
  <c r="Y57" i="2"/>
  <c r="V56" i="2"/>
  <c r="AA56" i="2"/>
  <c r="V55" i="2"/>
  <c r="AA55" i="2"/>
  <c r="V54" i="2"/>
  <c r="X54" i="2"/>
  <c r="V53" i="2"/>
  <c r="AA53" i="2"/>
  <c r="V52" i="2"/>
  <c r="Z52" i="2"/>
  <c r="V51" i="2"/>
  <c r="W51" i="2"/>
  <c r="V50" i="2"/>
  <c r="AA50" i="2"/>
  <c r="V49" i="2"/>
  <c r="Y49" i="2"/>
  <c r="V48" i="2"/>
  <c r="AA48" i="2"/>
  <c r="V47" i="2"/>
  <c r="AA47" i="2"/>
  <c r="V46" i="2"/>
  <c r="X46" i="2"/>
  <c r="V45" i="2"/>
  <c r="AA45" i="2"/>
  <c r="V44" i="2"/>
  <c r="Z44" i="2"/>
  <c r="V43" i="2"/>
  <c r="W43" i="2"/>
  <c r="V42" i="2"/>
  <c r="AA42" i="2"/>
  <c r="V41" i="2"/>
  <c r="Y41" i="2"/>
  <c r="V40" i="2"/>
  <c r="AA40" i="2"/>
  <c r="V39" i="2"/>
  <c r="AA39" i="2"/>
  <c r="V38" i="2"/>
  <c r="X38" i="2"/>
  <c r="V37" i="2"/>
  <c r="AA37" i="2"/>
  <c r="V36" i="2"/>
  <c r="Z36" i="2"/>
  <c r="V35" i="2"/>
  <c r="W35" i="2"/>
  <c r="V34" i="2"/>
  <c r="AA34" i="2"/>
  <c r="V33" i="2"/>
  <c r="Y33" i="2"/>
  <c r="V32" i="2"/>
  <c r="AA32" i="2"/>
  <c r="V31" i="2"/>
  <c r="AA31" i="2"/>
  <c r="V30" i="2"/>
  <c r="X30" i="2"/>
  <c r="V29" i="2"/>
  <c r="AA29" i="2"/>
  <c r="V28" i="2"/>
  <c r="Z28" i="2"/>
  <c r="V27" i="2"/>
  <c r="W27" i="2"/>
  <c r="V26" i="2"/>
  <c r="AA26" i="2"/>
  <c r="V25" i="2"/>
  <c r="Y25" i="2"/>
  <c r="V24" i="2"/>
  <c r="AA24" i="2"/>
  <c r="V23" i="2"/>
  <c r="AA23" i="2"/>
  <c r="V22" i="2"/>
  <c r="X22" i="2"/>
  <c r="V21" i="2"/>
  <c r="AA21" i="2"/>
  <c r="V20" i="2"/>
  <c r="Z20" i="2"/>
  <c r="V19" i="2"/>
  <c r="W19" i="2"/>
  <c r="V18" i="2"/>
  <c r="AA18" i="2"/>
  <c r="V17" i="2"/>
  <c r="Y17" i="2"/>
  <c r="V16" i="2"/>
  <c r="AA16" i="2"/>
  <c r="V15" i="2"/>
  <c r="AA15" i="2"/>
  <c r="V14" i="2"/>
  <c r="X14" i="2"/>
  <c r="V13" i="2"/>
  <c r="AA13" i="2"/>
  <c r="V12" i="2"/>
  <c r="Z12" i="2"/>
  <c r="V11" i="2"/>
  <c r="W11" i="2"/>
  <c r="V10" i="2"/>
  <c r="AA10" i="2"/>
  <c r="V9" i="2"/>
  <c r="Y9" i="2"/>
  <c r="V8" i="2"/>
  <c r="AA8" i="2"/>
  <c r="V7" i="2"/>
  <c r="AA7" i="2"/>
  <c r="V6" i="2"/>
  <c r="X6" i="2"/>
  <c r="AA5" i="2"/>
  <c r="V4" i="2"/>
  <c r="Z4" i="2"/>
  <c r="P3" i="2"/>
  <c r="X3" i="2"/>
  <c r="Q3" i="2"/>
  <c r="Y3" i="2"/>
  <c r="R3" i="2"/>
  <c r="Z3" i="2"/>
  <c r="S3" i="2"/>
  <c r="AA3" i="2"/>
  <c r="O3" i="2"/>
  <c r="W3" i="2"/>
  <c r="F216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4" i="2"/>
  <c r="B17" i="5"/>
  <c r="Y23" i="4"/>
  <c r="Y27" i="4"/>
  <c r="Y79" i="4"/>
  <c r="Y91" i="4"/>
  <c r="X16" i="4"/>
  <c r="X20" i="4"/>
  <c r="X28" i="4"/>
  <c r="Y35" i="4"/>
  <c r="Y43" i="4"/>
  <c r="X84" i="4"/>
  <c r="X92" i="4"/>
  <c r="Y99" i="4"/>
  <c r="Y107" i="4"/>
  <c r="AA5" i="4"/>
  <c r="AA9" i="4"/>
  <c r="AA13" i="4"/>
  <c r="W17" i="4"/>
  <c r="W21" i="4"/>
  <c r="W25" i="4"/>
  <c r="W29" i="4"/>
  <c r="X32" i="4"/>
  <c r="X36" i="4"/>
  <c r="X40" i="4"/>
  <c r="X44" i="4"/>
  <c r="Y47" i="4"/>
  <c r="Y51" i="4"/>
  <c r="Y55" i="4"/>
  <c r="Y59" i="4"/>
  <c r="AA65" i="4"/>
  <c r="AA69" i="4"/>
  <c r="AA73" i="4"/>
  <c r="AA77" i="4"/>
  <c r="W81" i="4"/>
  <c r="W85" i="4"/>
  <c r="W89" i="4"/>
  <c r="W93" i="4"/>
  <c r="X96" i="4"/>
  <c r="X100" i="4"/>
  <c r="X104" i="4"/>
  <c r="X108" i="4"/>
  <c r="Y15" i="4"/>
  <c r="Y19" i="4"/>
  <c r="Y83" i="4"/>
  <c r="Y87" i="4"/>
  <c r="X24" i="4"/>
  <c r="Y31" i="4"/>
  <c r="Y39" i="4"/>
  <c r="X80" i="4"/>
  <c r="X88" i="4"/>
  <c r="Y95" i="4"/>
  <c r="Y103" i="4"/>
  <c r="Y7" i="4"/>
  <c r="Y11" i="4"/>
  <c r="AA17" i="4"/>
  <c r="AA21" i="4"/>
  <c r="AA25" i="4"/>
  <c r="AA29" i="4"/>
  <c r="W33" i="4"/>
  <c r="W37" i="4"/>
  <c r="W41" i="4"/>
  <c r="W45" i="4"/>
  <c r="X48" i="4"/>
  <c r="X52" i="4"/>
  <c r="X56" i="4"/>
  <c r="X60" i="4"/>
  <c r="Y63" i="4"/>
  <c r="Y67" i="4"/>
  <c r="Y71" i="4"/>
  <c r="Y75" i="4"/>
  <c r="AA81" i="4"/>
  <c r="AA85" i="4"/>
  <c r="AA89" i="4"/>
  <c r="AA93" i="4"/>
  <c r="W97" i="4"/>
  <c r="W101" i="4"/>
  <c r="W105" i="4"/>
  <c r="AA266" i="4"/>
  <c r="W266" i="4"/>
  <c r="Z266" i="4"/>
  <c r="Y266" i="4"/>
  <c r="X266" i="4"/>
  <c r="AA270" i="4"/>
  <c r="W270" i="4"/>
  <c r="Z270" i="4"/>
  <c r="Y270" i="4"/>
  <c r="X270" i="4"/>
  <c r="AA274" i="4"/>
  <c r="W274" i="4"/>
  <c r="Z274" i="4"/>
  <c r="Y274" i="4"/>
  <c r="X274" i="4"/>
  <c r="AA278" i="4"/>
  <c r="W278" i="4"/>
  <c r="Z278" i="4"/>
  <c r="Y278" i="4"/>
  <c r="X278" i="4"/>
  <c r="Y6" i="4"/>
  <c r="X6" i="4"/>
  <c r="AA6" i="4"/>
  <c r="W6" i="4"/>
  <c r="Y10" i="4"/>
  <c r="X10" i="4"/>
  <c r="AA10" i="4"/>
  <c r="W10" i="4"/>
  <c r="Y14" i="4"/>
  <c r="X14" i="4"/>
  <c r="AA14" i="4"/>
  <c r="W14" i="4"/>
  <c r="Y18" i="4"/>
  <c r="X18" i="4"/>
  <c r="AA18" i="4"/>
  <c r="W18" i="4"/>
  <c r="Y22" i="4"/>
  <c r="X22" i="4"/>
  <c r="AA22" i="4"/>
  <c r="W22" i="4"/>
  <c r="Y26" i="4"/>
  <c r="X26" i="4"/>
  <c r="AA26" i="4"/>
  <c r="W26" i="4"/>
  <c r="Y30" i="4"/>
  <c r="X30" i="4"/>
  <c r="AA30" i="4"/>
  <c r="W30" i="4"/>
  <c r="Y34" i="4"/>
  <c r="X34" i="4"/>
  <c r="AA34" i="4"/>
  <c r="W34" i="4"/>
  <c r="Y38" i="4"/>
  <c r="X38" i="4"/>
  <c r="AA38" i="4"/>
  <c r="W38" i="4"/>
  <c r="Y42" i="4"/>
  <c r="X42" i="4"/>
  <c r="AA42" i="4"/>
  <c r="W42" i="4"/>
  <c r="Y46" i="4"/>
  <c r="X46" i="4"/>
  <c r="AA46" i="4"/>
  <c r="W46" i="4"/>
  <c r="Y50" i="4"/>
  <c r="X50" i="4"/>
  <c r="AA50" i="4"/>
  <c r="W50" i="4"/>
  <c r="Y54" i="4"/>
  <c r="X54" i="4"/>
  <c r="AA54" i="4"/>
  <c r="W54" i="4"/>
  <c r="Y58" i="4"/>
  <c r="X58" i="4"/>
  <c r="AA58" i="4"/>
  <c r="W58" i="4"/>
  <c r="Y62" i="4"/>
  <c r="X62" i="4"/>
  <c r="AA62" i="4"/>
  <c r="W62" i="4"/>
  <c r="Y66" i="4"/>
  <c r="X66" i="4"/>
  <c r="AA66" i="4"/>
  <c r="W66" i="4"/>
  <c r="Y70" i="4"/>
  <c r="X70" i="4"/>
  <c r="AA70" i="4"/>
  <c r="W70" i="4"/>
  <c r="Y74" i="4"/>
  <c r="X74" i="4"/>
  <c r="AA74" i="4"/>
  <c r="W74" i="4"/>
  <c r="Y78" i="4"/>
  <c r="X78" i="4"/>
  <c r="AA78" i="4"/>
  <c r="W78" i="4"/>
  <c r="Y82" i="4"/>
  <c r="X82" i="4"/>
  <c r="AA82" i="4"/>
  <c r="W82" i="4"/>
  <c r="Y86" i="4"/>
  <c r="X86" i="4"/>
  <c r="AA86" i="4"/>
  <c r="W86" i="4"/>
  <c r="Y90" i="4"/>
  <c r="X90" i="4"/>
  <c r="AA90" i="4"/>
  <c r="W90" i="4"/>
  <c r="Y94" i="4"/>
  <c r="X94" i="4"/>
  <c r="AA94" i="4"/>
  <c r="W94" i="4"/>
  <c r="Y98" i="4"/>
  <c r="X98" i="4"/>
  <c r="AA98" i="4"/>
  <c r="W98" i="4"/>
  <c r="Y102" i="4"/>
  <c r="X102" i="4"/>
  <c r="AA102" i="4"/>
  <c r="W102" i="4"/>
  <c r="Y106" i="4"/>
  <c r="X106" i="4"/>
  <c r="AA106" i="4"/>
  <c r="W106" i="4"/>
  <c r="Y110" i="4"/>
  <c r="X110" i="4"/>
  <c r="AA110" i="4"/>
  <c r="W110" i="4"/>
  <c r="Z110" i="4"/>
  <c r="Y114" i="4"/>
  <c r="X114" i="4"/>
  <c r="AA114" i="4"/>
  <c r="W114" i="4"/>
  <c r="Z114" i="4"/>
  <c r="Y118" i="4"/>
  <c r="X118" i="4"/>
  <c r="AA118" i="4"/>
  <c r="W118" i="4"/>
  <c r="Z118" i="4"/>
  <c r="Y122" i="4"/>
  <c r="X122" i="4"/>
  <c r="AA122" i="4"/>
  <c r="W122" i="4"/>
  <c r="Y126" i="4"/>
  <c r="X126" i="4"/>
  <c r="AA126" i="4"/>
  <c r="W126" i="4"/>
  <c r="Z126" i="4"/>
  <c r="Y130" i="4"/>
  <c r="X130" i="4"/>
  <c r="AA130" i="4"/>
  <c r="W130" i="4"/>
  <c r="Z130" i="4"/>
  <c r="Y134" i="4"/>
  <c r="X134" i="4"/>
  <c r="AA134" i="4"/>
  <c r="W134" i="4"/>
  <c r="Z134" i="4"/>
  <c r="Y138" i="4"/>
  <c r="X138" i="4"/>
  <c r="AA138" i="4"/>
  <c r="W138" i="4"/>
  <c r="Z138" i="4"/>
  <c r="Y142" i="4"/>
  <c r="X142" i="4"/>
  <c r="AA142" i="4"/>
  <c r="W142" i="4"/>
  <c r="Z142" i="4"/>
  <c r="Y146" i="4"/>
  <c r="X146" i="4"/>
  <c r="AA146" i="4"/>
  <c r="W146" i="4"/>
  <c r="Z146" i="4"/>
  <c r="Y150" i="4"/>
  <c r="X150" i="4"/>
  <c r="AA150" i="4"/>
  <c r="W150" i="4"/>
  <c r="Z150" i="4"/>
  <c r="Y154" i="4"/>
  <c r="X154" i="4"/>
  <c r="AA154" i="4"/>
  <c r="W154" i="4"/>
  <c r="Z154" i="4"/>
  <c r="Y158" i="4"/>
  <c r="X158" i="4"/>
  <c r="AA158" i="4"/>
  <c r="W158" i="4"/>
  <c r="Z158" i="4"/>
  <c r="X162" i="4"/>
  <c r="AA162" i="4"/>
  <c r="W162" i="4"/>
  <c r="Z162" i="4"/>
  <c r="Y162" i="4"/>
  <c r="X166" i="4"/>
  <c r="AA166" i="4"/>
  <c r="W166" i="4"/>
  <c r="Z166" i="4"/>
  <c r="Y166" i="4"/>
  <c r="X170" i="4"/>
  <c r="AA170" i="4"/>
  <c r="W170" i="4"/>
  <c r="Z170" i="4"/>
  <c r="Y170" i="4"/>
  <c r="X174" i="4"/>
  <c r="AA174" i="4"/>
  <c r="W174" i="4"/>
  <c r="Z174" i="4"/>
  <c r="Y174" i="4"/>
  <c r="X178" i="4"/>
  <c r="AA178" i="4"/>
  <c r="W178" i="4"/>
  <c r="Z178" i="4"/>
  <c r="Y178" i="4"/>
  <c r="X182" i="4"/>
  <c r="AA182" i="4"/>
  <c r="W182" i="4"/>
  <c r="Z182" i="4"/>
  <c r="Y182" i="4"/>
  <c r="X186" i="4"/>
  <c r="AA186" i="4"/>
  <c r="W186" i="4"/>
  <c r="Z186" i="4"/>
  <c r="Y186" i="4"/>
  <c r="X190" i="4"/>
  <c r="AA190" i="4"/>
  <c r="W190" i="4"/>
  <c r="Z190" i="4"/>
  <c r="Y190" i="4"/>
  <c r="X194" i="4"/>
  <c r="AA194" i="4"/>
  <c r="W194" i="4"/>
  <c r="Z194" i="4"/>
  <c r="Y194" i="4"/>
  <c r="X198" i="4"/>
  <c r="AA198" i="4"/>
  <c r="W198" i="4"/>
  <c r="Z198" i="4"/>
  <c r="Y198" i="4"/>
  <c r="X202" i="4"/>
  <c r="AA202" i="4"/>
  <c r="W202" i="4"/>
  <c r="Z202" i="4"/>
  <c r="Y202" i="4"/>
  <c r="X206" i="4"/>
  <c r="AA206" i="4"/>
  <c r="W206" i="4"/>
  <c r="Z206" i="4"/>
  <c r="Y206" i="4"/>
  <c r="X210" i="4"/>
  <c r="AA210" i="4"/>
  <c r="W210" i="4"/>
  <c r="Z210" i="4"/>
  <c r="Y210" i="4"/>
  <c r="AA214" i="4"/>
  <c r="W214" i="4"/>
  <c r="Z214" i="4"/>
  <c r="Y214" i="4"/>
  <c r="X214" i="4"/>
  <c r="AA218" i="4"/>
  <c r="W218" i="4"/>
  <c r="Z218" i="4"/>
  <c r="Y218" i="4"/>
  <c r="X218" i="4"/>
  <c r="AA222" i="4"/>
  <c r="W222" i="4"/>
  <c r="Z222" i="4"/>
  <c r="Y222" i="4"/>
  <c r="X222" i="4"/>
  <c r="AA226" i="4"/>
  <c r="W226" i="4"/>
  <c r="Z226" i="4"/>
  <c r="Y226" i="4"/>
  <c r="X226" i="4"/>
  <c r="AA230" i="4"/>
  <c r="W230" i="4"/>
  <c r="Z230" i="4"/>
  <c r="Y230" i="4"/>
  <c r="X230" i="4"/>
  <c r="AA234" i="4"/>
  <c r="W234" i="4"/>
  <c r="Z234" i="4"/>
  <c r="Y234" i="4"/>
  <c r="X234" i="4"/>
  <c r="AA238" i="4"/>
  <c r="W238" i="4"/>
  <c r="Z238" i="4"/>
  <c r="Y238" i="4"/>
  <c r="X238" i="4"/>
  <c r="AA242" i="4"/>
  <c r="W242" i="4"/>
  <c r="Z242" i="4"/>
  <c r="Y242" i="4"/>
  <c r="X242" i="4"/>
  <c r="AA246" i="4"/>
  <c r="W246" i="4"/>
  <c r="Z246" i="4"/>
  <c r="Y246" i="4"/>
  <c r="X246" i="4"/>
  <c r="AA250" i="4"/>
  <c r="W250" i="4"/>
  <c r="Z250" i="4"/>
  <c r="Y250" i="4"/>
  <c r="X250" i="4"/>
  <c r="AA254" i="4"/>
  <c r="W254" i="4"/>
  <c r="Z254" i="4"/>
  <c r="Y254" i="4"/>
  <c r="X254" i="4"/>
  <c r="AA258" i="4"/>
  <c r="W258" i="4"/>
  <c r="Z258" i="4"/>
  <c r="Y258" i="4"/>
  <c r="X258" i="4"/>
  <c r="AA262" i="4"/>
  <c r="W262" i="4"/>
  <c r="Z262" i="4"/>
  <c r="Y262" i="4"/>
  <c r="X262" i="4"/>
  <c r="Z10" i="4"/>
  <c r="Z26" i="4"/>
  <c r="Z42" i="4"/>
  <c r="Z58" i="4"/>
  <c r="Z74" i="4"/>
  <c r="Z90" i="4"/>
  <c r="Z106" i="4"/>
  <c r="X111" i="4"/>
  <c r="AA111" i="4"/>
  <c r="W111" i="4"/>
  <c r="Z111" i="4"/>
  <c r="X115" i="4"/>
  <c r="AA115" i="4"/>
  <c r="W115" i="4"/>
  <c r="Z115" i="4"/>
  <c r="X119" i="4"/>
  <c r="AA119" i="4"/>
  <c r="W119" i="4"/>
  <c r="Z119" i="4"/>
  <c r="X123" i="4"/>
  <c r="AA123" i="4"/>
  <c r="W123" i="4"/>
  <c r="Z123" i="4"/>
  <c r="X127" i="4"/>
  <c r="AA127" i="4"/>
  <c r="W127" i="4"/>
  <c r="Z127" i="4"/>
  <c r="X131" i="4"/>
  <c r="AA131" i="4"/>
  <c r="W131" i="4"/>
  <c r="Z131" i="4"/>
  <c r="X135" i="4"/>
  <c r="AA135" i="4"/>
  <c r="W135" i="4"/>
  <c r="Z135" i="4"/>
  <c r="X139" i="4"/>
  <c r="AA139" i="4"/>
  <c r="W139" i="4"/>
  <c r="Z139" i="4"/>
  <c r="X143" i="4"/>
  <c r="AA143" i="4"/>
  <c r="W143" i="4"/>
  <c r="Z143" i="4"/>
  <c r="X147" i="4"/>
  <c r="AA147" i="4"/>
  <c r="W147" i="4"/>
  <c r="Z147" i="4"/>
  <c r="X151" i="4"/>
  <c r="AA151" i="4"/>
  <c r="W151" i="4"/>
  <c r="Z151" i="4"/>
  <c r="X155" i="4"/>
  <c r="AA155" i="4"/>
  <c r="W155" i="4"/>
  <c r="Z155" i="4"/>
  <c r="X159" i="4"/>
  <c r="AA159" i="4"/>
  <c r="W159" i="4"/>
  <c r="Z159" i="4"/>
  <c r="AA163" i="4"/>
  <c r="W163" i="4"/>
  <c r="Z163" i="4"/>
  <c r="Y163" i="4"/>
  <c r="X163" i="4"/>
  <c r="AA167" i="4"/>
  <c r="W167" i="4"/>
  <c r="Z167" i="4"/>
  <c r="Y167" i="4"/>
  <c r="AA171" i="4"/>
  <c r="W171" i="4"/>
  <c r="Z171" i="4"/>
  <c r="Y171" i="4"/>
  <c r="X171" i="4"/>
  <c r="AA175" i="4"/>
  <c r="W175" i="4"/>
  <c r="Z175" i="4"/>
  <c r="Y175" i="4"/>
  <c r="X175" i="4"/>
  <c r="AA179" i="4"/>
  <c r="W179" i="4"/>
  <c r="Z179" i="4"/>
  <c r="Y179" i="4"/>
  <c r="X179" i="4"/>
  <c r="AA183" i="4"/>
  <c r="W183" i="4"/>
  <c r="Z183" i="4"/>
  <c r="Y183" i="4"/>
  <c r="AA187" i="4"/>
  <c r="W187" i="4"/>
  <c r="Z187" i="4"/>
  <c r="Y187" i="4"/>
  <c r="X187" i="4"/>
  <c r="AA191" i="4"/>
  <c r="W191" i="4"/>
  <c r="Z191" i="4"/>
  <c r="Y191" i="4"/>
  <c r="X191" i="4"/>
  <c r="AA195" i="4"/>
  <c r="W195" i="4"/>
  <c r="Z195" i="4"/>
  <c r="Y195" i="4"/>
  <c r="X195" i="4"/>
  <c r="AA199" i="4"/>
  <c r="W199" i="4"/>
  <c r="Z199" i="4"/>
  <c r="Y199" i="4"/>
  <c r="AA203" i="4"/>
  <c r="W203" i="4"/>
  <c r="Z203" i="4"/>
  <c r="Y203" i="4"/>
  <c r="X203" i="4"/>
  <c r="AA207" i="4"/>
  <c r="W207" i="4"/>
  <c r="Z207" i="4"/>
  <c r="Y207" i="4"/>
  <c r="X207" i="4"/>
  <c r="Z211" i="4"/>
  <c r="Y211" i="4"/>
  <c r="X211" i="4"/>
  <c r="W211" i="4"/>
  <c r="AA211" i="4"/>
  <c r="Z215" i="4"/>
  <c r="Y215" i="4"/>
  <c r="X215" i="4"/>
  <c r="AA215" i="4"/>
  <c r="Z219" i="4"/>
  <c r="Y219" i="4"/>
  <c r="X219" i="4"/>
  <c r="AA219" i="4"/>
  <c r="W219" i="4"/>
  <c r="Z223" i="4"/>
  <c r="Y223" i="4"/>
  <c r="X223" i="4"/>
  <c r="AA223" i="4"/>
  <c r="W223" i="4"/>
  <c r="Z227" i="4"/>
  <c r="Y227" i="4"/>
  <c r="X227" i="4"/>
  <c r="W227" i="4"/>
  <c r="Z231" i="4"/>
  <c r="Y231" i="4"/>
  <c r="X231" i="4"/>
  <c r="AA231" i="4"/>
  <c r="W231" i="4"/>
  <c r="Z235" i="4"/>
  <c r="Y235" i="4"/>
  <c r="X235" i="4"/>
  <c r="AA235" i="4"/>
  <c r="W235" i="4"/>
  <c r="Z239" i="4"/>
  <c r="Y239" i="4"/>
  <c r="X239" i="4"/>
  <c r="AA239" i="4"/>
  <c r="W239" i="4"/>
  <c r="Z243" i="4"/>
  <c r="Y243" i="4"/>
  <c r="X243" i="4"/>
  <c r="W243" i="4"/>
  <c r="AA243" i="4"/>
  <c r="Z247" i="4"/>
  <c r="Y247" i="4"/>
  <c r="X247" i="4"/>
  <c r="AA247" i="4"/>
  <c r="W247" i="4"/>
  <c r="Z251" i="4"/>
  <c r="Y251" i="4"/>
  <c r="X251" i="4"/>
  <c r="AA251" i="4"/>
  <c r="W251" i="4"/>
  <c r="Z255" i="4"/>
  <c r="Y255" i="4"/>
  <c r="X255" i="4"/>
  <c r="AA255" i="4"/>
  <c r="W255" i="4"/>
  <c r="Z259" i="4"/>
  <c r="Y259" i="4"/>
  <c r="X259" i="4"/>
  <c r="W259" i="4"/>
  <c r="AA259" i="4"/>
  <c r="Z263" i="4"/>
  <c r="Y263" i="4"/>
  <c r="X263" i="4"/>
  <c r="AA263" i="4"/>
  <c r="W263" i="4"/>
  <c r="Z267" i="4"/>
  <c r="Y267" i="4"/>
  <c r="X267" i="4"/>
  <c r="AA267" i="4"/>
  <c r="W267" i="4"/>
  <c r="Z271" i="4"/>
  <c r="Y271" i="4"/>
  <c r="X271" i="4"/>
  <c r="AA271" i="4"/>
  <c r="W271" i="4"/>
  <c r="Z275" i="4"/>
  <c r="Y275" i="4"/>
  <c r="X275" i="4"/>
  <c r="W275" i="4"/>
  <c r="AA275" i="4"/>
  <c r="V279" i="4"/>
  <c r="Y4" i="4"/>
  <c r="X5" i="4"/>
  <c r="Z7" i="4"/>
  <c r="Y8" i="4"/>
  <c r="X9" i="4"/>
  <c r="Z11" i="4"/>
  <c r="Y12" i="4"/>
  <c r="X13" i="4"/>
  <c r="Z15" i="4"/>
  <c r="Y16" i="4"/>
  <c r="X17" i="4"/>
  <c r="Z19" i="4"/>
  <c r="Y20" i="4"/>
  <c r="X21" i="4"/>
  <c r="Z23" i="4"/>
  <c r="Y24" i="4"/>
  <c r="X25" i="4"/>
  <c r="Z27" i="4"/>
  <c r="Y28" i="4"/>
  <c r="X29" i="4"/>
  <c r="Z31" i="4"/>
  <c r="Y32" i="4"/>
  <c r="X33" i="4"/>
  <c r="Z35" i="4"/>
  <c r="Y36" i="4"/>
  <c r="X37" i="4"/>
  <c r="Z39" i="4"/>
  <c r="Y40" i="4"/>
  <c r="X41" i="4"/>
  <c r="Z43" i="4"/>
  <c r="Y44" i="4"/>
  <c r="X45" i="4"/>
  <c r="Z47" i="4"/>
  <c r="Y48" i="4"/>
  <c r="X49" i="4"/>
  <c r="Z51" i="4"/>
  <c r="Y52" i="4"/>
  <c r="X53" i="4"/>
  <c r="Z55" i="4"/>
  <c r="Y56" i="4"/>
  <c r="X57" i="4"/>
  <c r="Z59" i="4"/>
  <c r="Y60" i="4"/>
  <c r="X61" i="4"/>
  <c r="Z63" i="4"/>
  <c r="Y64" i="4"/>
  <c r="X65" i="4"/>
  <c r="Z67" i="4"/>
  <c r="Y68" i="4"/>
  <c r="X69" i="4"/>
  <c r="Z71" i="4"/>
  <c r="Y72" i="4"/>
  <c r="X73" i="4"/>
  <c r="Z75" i="4"/>
  <c r="Y76" i="4"/>
  <c r="X77" i="4"/>
  <c r="Z79" i="4"/>
  <c r="Y80" i="4"/>
  <c r="X81" i="4"/>
  <c r="Z83" i="4"/>
  <c r="Y84" i="4"/>
  <c r="X85" i="4"/>
  <c r="Z87" i="4"/>
  <c r="Y88" i="4"/>
  <c r="X89" i="4"/>
  <c r="Z91" i="4"/>
  <c r="Y92" i="4"/>
  <c r="X93" i="4"/>
  <c r="Z95" i="4"/>
  <c r="Y96" i="4"/>
  <c r="X97" i="4"/>
  <c r="Z99" i="4"/>
  <c r="Y100" i="4"/>
  <c r="X101" i="4"/>
  <c r="Z103" i="4"/>
  <c r="Y104" i="4"/>
  <c r="X105" i="4"/>
  <c r="Z107" i="4"/>
  <c r="Y108" i="4"/>
  <c r="W117" i="4"/>
  <c r="Y123" i="4"/>
  <c r="W133" i="4"/>
  <c r="Y139" i="4"/>
  <c r="W149" i="4"/>
  <c r="Y155" i="4"/>
  <c r="X167" i="4"/>
  <c r="AA112" i="4"/>
  <c r="W112" i="4"/>
  <c r="Z112" i="4"/>
  <c r="Y112" i="4"/>
  <c r="AA116" i="4"/>
  <c r="W116" i="4"/>
  <c r="Z116" i="4"/>
  <c r="Y116" i="4"/>
  <c r="AA120" i="4"/>
  <c r="W120" i="4"/>
  <c r="Z120" i="4"/>
  <c r="Y120" i="4"/>
  <c r="AA124" i="4"/>
  <c r="W124" i="4"/>
  <c r="Z124" i="4"/>
  <c r="Y124" i="4"/>
  <c r="AA128" i="4"/>
  <c r="W128" i="4"/>
  <c r="Z128" i="4"/>
  <c r="Y128" i="4"/>
  <c r="AA132" i="4"/>
  <c r="W132" i="4"/>
  <c r="Z132" i="4"/>
  <c r="Y132" i="4"/>
  <c r="AA136" i="4"/>
  <c r="W136" i="4"/>
  <c r="Z136" i="4"/>
  <c r="Y136" i="4"/>
  <c r="AA140" i="4"/>
  <c r="W140" i="4"/>
  <c r="Z140" i="4"/>
  <c r="Y140" i="4"/>
  <c r="AA144" i="4"/>
  <c r="W144" i="4"/>
  <c r="Z144" i="4"/>
  <c r="Y144" i="4"/>
  <c r="AA148" i="4"/>
  <c r="W148" i="4"/>
  <c r="Z148" i="4"/>
  <c r="Y148" i="4"/>
  <c r="AA152" i="4"/>
  <c r="W152" i="4"/>
  <c r="Z152" i="4"/>
  <c r="Y152" i="4"/>
  <c r="AA156" i="4"/>
  <c r="W156" i="4"/>
  <c r="Z156" i="4"/>
  <c r="Y156" i="4"/>
  <c r="Z160" i="4"/>
  <c r="Y160" i="4"/>
  <c r="X160" i="4"/>
  <c r="W160" i="4"/>
  <c r="Z164" i="4"/>
  <c r="Y164" i="4"/>
  <c r="X164" i="4"/>
  <c r="AA164" i="4"/>
  <c r="Z168" i="4"/>
  <c r="Y168" i="4"/>
  <c r="X168" i="4"/>
  <c r="AA168" i="4"/>
  <c r="W168" i="4"/>
  <c r="Z172" i="4"/>
  <c r="Y172" i="4"/>
  <c r="X172" i="4"/>
  <c r="AA172" i="4"/>
  <c r="W172" i="4"/>
  <c r="Z176" i="4"/>
  <c r="Y176" i="4"/>
  <c r="X176" i="4"/>
  <c r="W176" i="4"/>
  <c r="Z180" i="4"/>
  <c r="Y180" i="4"/>
  <c r="X180" i="4"/>
  <c r="AA180" i="4"/>
  <c r="Z184" i="4"/>
  <c r="Y184" i="4"/>
  <c r="X184" i="4"/>
  <c r="AA184" i="4"/>
  <c r="W184" i="4"/>
  <c r="Z188" i="4"/>
  <c r="Y188" i="4"/>
  <c r="X188" i="4"/>
  <c r="AA188" i="4"/>
  <c r="W188" i="4"/>
  <c r="Z192" i="4"/>
  <c r="Y192" i="4"/>
  <c r="X192" i="4"/>
  <c r="W192" i="4"/>
  <c r="Z196" i="4"/>
  <c r="Y196" i="4"/>
  <c r="X196" i="4"/>
  <c r="AA196" i="4"/>
  <c r="Z200" i="4"/>
  <c r="Y200" i="4"/>
  <c r="X200" i="4"/>
  <c r="AA200" i="4"/>
  <c r="W200" i="4"/>
  <c r="Z204" i="4"/>
  <c r="Y204" i="4"/>
  <c r="X204" i="4"/>
  <c r="AA204" i="4"/>
  <c r="W204" i="4"/>
  <c r="Z208" i="4"/>
  <c r="Y208" i="4"/>
  <c r="X208" i="4"/>
  <c r="W208" i="4"/>
  <c r="Y212" i="4"/>
  <c r="X212" i="4"/>
  <c r="AA212" i="4"/>
  <c r="W212" i="4"/>
  <c r="Z212" i="4"/>
  <c r="Y216" i="4"/>
  <c r="X216" i="4"/>
  <c r="AA216" i="4"/>
  <c r="W216" i="4"/>
  <c r="Z216" i="4"/>
  <c r="Y220" i="4"/>
  <c r="X220" i="4"/>
  <c r="AA220" i="4"/>
  <c r="W220" i="4"/>
  <c r="Z220" i="4"/>
  <c r="Y224" i="4"/>
  <c r="X224" i="4"/>
  <c r="AA224" i="4"/>
  <c r="W224" i="4"/>
  <c r="Z224" i="4"/>
  <c r="Y228" i="4"/>
  <c r="X228" i="4"/>
  <c r="AA228" i="4"/>
  <c r="W228" i="4"/>
  <c r="Z228" i="4"/>
  <c r="Y232" i="4"/>
  <c r="X232" i="4"/>
  <c r="AA232" i="4"/>
  <c r="W232" i="4"/>
  <c r="Z232" i="4"/>
  <c r="Y236" i="4"/>
  <c r="X236" i="4"/>
  <c r="AA236" i="4"/>
  <c r="W236" i="4"/>
  <c r="Z236" i="4"/>
  <c r="Y240" i="4"/>
  <c r="X240" i="4"/>
  <c r="AA240" i="4"/>
  <c r="W240" i="4"/>
  <c r="Y244" i="4"/>
  <c r="X244" i="4"/>
  <c r="AA244" i="4"/>
  <c r="W244" i="4"/>
  <c r="Z244" i="4"/>
  <c r="Y248" i="4"/>
  <c r="X248" i="4"/>
  <c r="AA248" i="4"/>
  <c r="W248" i="4"/>
  <c r="Z248" i="4"/>
  <c r="Y252" i="4"/>
  <c r="X252" i="4"/>
  <c r="AA252" i="4"/>
  <c r="W252" i="4"/>
  <c r="Z252" i="4"/>
  <c r="Y256" i="4"/>
  <c r="X256" i="4"/>
  <c r="AA256" i="4"/>
  <c r="W256" i="4"/>
  <c r="Z256" i="4"/>
  <c r="Y260" i="4"/>
  <c r="X260" i="4"/>
  <c r="AA260" i="4"/>
  <c r="W260" i="4"/>
  <c r="Z260" i="4"/>
  <c r="Y264" i="4"/>
  <c r="X264" i="4"/>
  <c r="AA264" i="4"/>
  <c r="W264" i="4"/>
  <c r="Z264" i="4"/>
  <c r="Y268" i="4"/>
  <c r="X268" i="4"/>
  <c r="AA268" i="4"/>
  <c r="W268" i="4"/>
  <c r="Z268" i="4"/>
  <c r="Y272" i="4"/>
  <c r="X272" i="4"/>
  <c r="AA272" i="4"/>
  <c r="W272" i="4"/>
  <c r="Z272" i="4"/>
  <c r="Y276" i="4"/>
  <c r="X276" i="4"/>
  <c r="AA276" i="4"/>
  <c r="W276" i="4"/>
  <c r="Z276" i="4"/>
  <c r="Z4" i="4"/>
  <c r="Y5" i="4"/>
  <c r="W7" i="4"/>
  <c r="AA7" i="4"/>
  <c r="Z8" i="4"/>
  <c r="Y9" i="4"/>
  <c r="W11" i="4"/>
  <c r="AA11" i="4"/>
  <c r="Z12" i="4"/>
  <c r="Y13" i="4"/>
  <c r="W15" i="4"/>
  <c r="AA15" i="4"/>
  <c r="Z16" i="4"/>
  <c r="Y17" i="4"/>
  <c r="W19" i="4"/>
  <c r="AA19" i="4"/>
  <c r="Z20" i="4"/>
  <c r="Y21" i="4"/>
  <c r="W23" i="4"/>
  <c r="AA23" i="4"/>
  <c r="Z24" i="4"/>
  <c r="Y25" i="4"/>
  <c r="W27" i="4"/>
  <c r="AA27" i="4"/>
  <c r="Z28" i="4"/>
  <c r="Y29" i="4"/>
  <c r="W31" i="4"/>
  <c r="AA31" i="4"/>
  <c r="Z32" i="4"/>
  <c r="Y33" i="4"/>
  <c r="W35" i="4"/>
  <c r="AA35" i="4"/>
  <c r="Z36" i="4"/>
  <c r="Y37" i="4"/>
  <c r="W39" i="4"/>
  <c r="AA39" i="4"/>
  <c r="Z40" i="4"/>
  <c r="Y41" i="4"/>
  <c r="W43" i="4"/>
  <c r="AA43" i="4"/>
  <c r="Z44" i="4"/>
  <c r="Y45" i="4"/>
  <c r="W47" i="4"/>
  <c r="AA47" i="4"/>
  <c r="Z48" i="4"/>
  <c r="Y49" i="4"/>
  <c r="W51" i="4"/>
  <c r="AA51" i="4"/>
  <c r="Z52" i="4"/>
  <c r="Y53" i="4"/>
  <c r="W55" i="4"/>
  <c r="AA55" i="4"/>
  <c r="Z56" i="4"/>
  <c r="Y57" i="4"/>
  <c r="W59" i="4"/>
  <c r="AA59" i="4"/>
  <c r="Z60" i="4"/>
  <c r="Y61" i="4"/>
  <c r="W63" i="4"/>
  <c r="AA63" i="4"/>
  <c r="Z64" i="4"/>
  <c r="Y65" i="4"/>
  <c r="W67" i="4"/>
  <c r="AA67" i="4"/>
  <c r="Z68" i="4"/>
  <c r="Y69" i="4"/>
  <c r="W71" i="4"/>
  <c r="AA71" i="4"/>
  <c r="Z72" i="4"/>
  <c r="Y73" i="4"/>
  <c r="W75" i="4"/>
  <c r="AA75" i="4"/>
  <c r="Z76" i="4"/>
  <c r="Y77" i="4"/>
  <c r="W79" i="4"/>
  <c r="AA79" i="4"/>
  <c r="Z80" i="4"/>
  <c r="Y81" i="4"/>
  <c r="W83" i="4"/>
  <c r="AA83" i="4"/>
  <c r="Z84" i="4"/>
  <c r="Y85" i="4"/>
  <c r="W87" i="4"/>
  <c r="AA87" i="4"/>
  <c r="Z88" i="4"/>
  <c r="Y89" i="4"/>
  <c r="W91" i="4"/>
  <c r="AA91" i="4"/>
  <c r="Z92" i="4"/>
  <c r="Y93" i="4"/>
  <c r="W95" i="4"/>
  <c r="AA95" i="4"/>
  <c r="Z96" i="4"/>
  <c r="Y97" i="4"/>
  <c r="W99" i="4"/>
  <c r="AA99" i="4"/>
  <c r="Z100" i="4"/>
  <c r="Y101" i="4"/>
  <c r="W103" i="4"/>
  <c r="AA103" i="4"/>
  <c r="Z104" i="4"/>
  <c r="Y105" i="4"/>
  <c r="W107" i="4"/>
  <c r="AA107" i="4"/>
  <c r="Z108" i="4"/>
  <c r="Y111" i="4"/>
  <c r="X124" i="4"/>
  <c r="Y127" i="4"/>
  <c r="X140" i="4"/>
  <c r="Y143" i="4"/>
  <c r="X156" i="4"/>
  <c r="Y159" i="4"/>
  <c r="X183" i="4"/>
  <c r="W196" i="4"/>
  <c r="AA208" i="4"/>
  <c r="Z109" i="4"/>
  <c r="Y109" i="4"/>
  <c r="X109" i="4"/>
  <c r="Z113" i="4"/>
  <c r="Y113" i="4"/>
  <c r="X113" i="4"/>
  <c r="Z117" i="4"/>
  <c r="Y117" i="4"/>
  <c r="X117" i="4"/>
  <c r="Z121" i="4"/>
  <c r="Y121" i="4"/>
  <c r="X121" i="4"/>
  <c r="Z125" i="4"/>
  <c r="Y125" i="4"/>
  <c r="X125" i="4"/>
  <c r="Z129" i="4"/>
  <c r="Y129" i="4"/>
  <c r="X129" i="4"/>
  <c r="Z133" i="4"/>
  <c r="Y133" i="4"/>
  <c r="X133" i="4"/>
  <c r="Z137" i="4"/>
  <c r="Y137" i="4"/>
  <c r="X137" i="4"/>
  <c r="Z141" i="4"/>
  <c r="Y141" i="4"/>
  <c r="X141" i="4"/>
  <c r="Z145" i="4"/>
  <c r="Y145" i="4"/>
  <c r="X145" i="4"/>
  <c r="Z149" i="4"/>
  <c r="Y149" i="4"/>
  <c r="X149" i="4"/>
  <c r="Z153" i="4"/>
  <c r="Y153" i="4"/>
  <c r="X153" i="4"/>
  <c r="Z157" i="4"/>
  <c r="Y157" i="4"/>
  <c r="X157" i="4"/>
  <c r="Y161" i="4"/>
  <c r="X161" i="4"/>
  <c r="AA161" i="4"/>
  <c r="W161" i="4"/>
  <c r="Z161" i="4"/>
  <c r="Y165" i="4"/>
  <c r="X165" i="4"/>
  <c r="AA165" i="4"/>
  <c r="W165" i="4"/>
  <c r="Z165" i="4"/>
  <c r="Y169" i="4"/>
  <c r="X169" i="4"/>
  <c r="AA169" i="4"/>
  <c r="W169" i="4"/>
  <c r="Z169" i="4"/>
  <c r="Y173" i="4"/>
  <c r="X173" i="4"/>
  <c r="AA173" i="4"/>
  <c r="W173" i="4"/>
  <c r="Y177" i="4"/>
  <c r="X177" i="4"/>
  <c r="AA177" i="4"/>
  <c r="W177" i="4"/>
  <c r="Z177" i="4"/>
  <c r="Y181" i="4"/>
  <c r="X181" i="4"/>
  <c r="AA181" i="4"/>
  <c r="W181" i="4"/>
  <c r="Z181" i="4"/>
  <c r="Y185" i="4"/>
  <c r="X185" i="4"/>
  <c r="AA185" i="4"/>
  <c r="W185" i="4"/>
  <c r="Z185" i="4"/>
  <c r="Y189" i="4"/>
  <c r="X189" i="4"/>
  <c r="AA189" i="4"/>
  <c r="W189" i="4"/>
  <c r="Y193" i="4"/>
  <c r="X193" i="4"/>
  <c r="AA193" i="4"/>
  <c r="W193" i="4"/>
  <c r="Z193" i="4"/>
  <c r="Y197" i="4"/>
  <c r="X197" i="4"/>
  <c r="AA197" i="4"/>
  <c r="W197" i="4"/>
  <c r="Z197" i="4"/>
  <c r="Y201" i="4"/>
  <c r="X201" i="4"/>
  <c r="AA201" i="4"/>
  <c r="W201" i="4"/>
  <c r="Z201" i="4"/>
  <c r="Y205" i="4"/>
  <c r="X205" i="4"/>
  <c r="AA205" i="4"/>
  <c r="W205" i="4"/>
  <c r="Y209" i="4"/>
  <c r="X209" i="4"/>
  <c r="AA209" i="4"/>
  <c r="W209" i="4"/>
  <c r="Z209" i="4"/>
  <c r="X213" i="4"/>
  <c r="AA213" i="4"/>
  <c r="W213" i="4"/>
  <c r="Z213" i="4"/>
  <c r="Y213" i="4"/>
  <c r="X217" i="4"/>
  <c r="AA217" i="4"/>
  <c r="W217" i="4"/>
  <c r="Z217" i="4"/>
  <c r="Y217" i="4"/>
  <c r="X221" i="4"/>
  <c r="AA221" i="4"/>
  <c r="W221" i="4"/>
  <c r="Z221" i="4"/>
  <c r="Y221" i="4"/>
  <c r="X225" i="4"/>
  <c r="AA225" i="4"/>
  <c r="W225" i="4"/>
  <c r="Z225" i="4"/>
  <c r="Y225" i="4"/>
  <c r="X229" i="4"/>
  <c r="AA229" i="4"/>
  <c r="W229" i="4"/>
  <c r="Z229" i="4"/>
  <c r="Y229" i="4"/>
  <c r="X233" i="4"/>
  <c r="AA233" i="4"/>
  <c r="W233" i="4"/>
  <c r="Z233" i="4"/>
  <c r="Y233" i="4"/>
  <c r="X237" i="4"/>
  <c r="AA237" i="4"/>
  <c r="W237" i="4"/>
  <c r="Z237" i="4"/>
  <c r="Y237" i="4"/>
  <c r="X241" i="4"/>
  <c r="AA241" i="4"/>
  <c r="W241" i="4"/>
  <c r="Z241" i="4"/>
  <c r="Y241" i="4"/>
  <c r="X245" i="4"/>
  <c r="AA245" i="4"/>
  <c r="W245" i="4"/>
  <c r="Z245" i="4"/>
  <c r="Y245" i="4"/>
  <c r="X249" i="4"/>
  <c r="AA249" i="4"/>
  <c r="W249" i="4"/>
  <c r="Z249" i="4"/>
  <c r="Y249" i="4"/>
  <c r="X253" i="4"/>
  <c r="AA253" i="4"/>
  <c r="W253" i="4"/>
  <c r="Z253" i="4"/>
  <c r="X257" i="4"/>
  <c r="AA257" i="4"/>
  <c r="W257" i="4"/>
  <c r="Z257" i="4"/>
  <c r="Y257" i="4"/>
  <c r="X261" i="4"/>
  <c r="AA261" i="4"/>
  <c r="W261" i="4"/>
  <c r="Z261" i="4"/>
  <c r="Y261" i="4"/>
  <c r="X265" i="4"/>
  <c r="AA265" i="4"/>
  <c r="W265" i="4"/>
  <c r="Z265" i="4"/>
  <c r="Y265" i="4"/>
  <c r="X269" i="4"/>
  <c r="AA269" i="4"/>
  <c r="W269" i="4"/>
  <c r="Z269" i="4"/>
  <c r="Y269" i="4"/>
  <c r="X273" i="4"/>
  <c r="AA273" i="4"/>
  <c r="W273" i="4"/>
  <c r="Z273" i="4"/>
  <c r="Y273" i="4"/>
  <c r="X277" i="4"/>
  <c r="AA277" i="4"/>
  <c r="W277" i="4"/>
  <c r="Z277" i="4"/>
  <c r="Y277" i="4"/>
  <c r="W4" i="4"/>
  <c r="W8" i="4"/>
  <c r="W12" i="4"/>
  <c r="W16" i="4"/>
  <c r="W20" i="4"/>
  <c r="W24" i="4"/>
  <c r="W28" i="4"/>
  <c r="W32" i="4"/>
  <c r="W36" i="4"/>
  <c r="W40" i="4"/>
  <c r="W44" i="4"/>
  <c r="W48" i="4"/>
  <c r="W52" i="4"/>
  <c r="W56" i="4"/>
  <c r="W60" i="4"/>
  <c r="W64" i="4"/>
  <c r="W68" i="4"/>
  <c r="W72" i="4"/>
  <c r="W76" i="4"/>
  <c r="W80" i="4"/>
  <c r="W84" i="4"/>
  <c r="W88" i="4"/>
  <c r="W92" i="4"/>
  <c r="W96" i="4"/>
  <c r="W100" i="4"/>
  <c r="W104" i="4"/>
  <c r="W108" i="4"/>
  <c r="W109" i="4"/>
  <c r="X112" i="4"/>
  <c r="Y115" i="4"/>
  <c r="AA121" i="4"/>
  <c r="W125" i="4"/>
  <c r="X128" i="4"/>
  <c r="Y131" i="4"/>
  <c r="AA137" i="4"/>
  <c r="W141" i="4"/>
  <c r="X144" i="4"/>
  <c r="Y147" i="4"/>
  <c r="AA153" i="4"/>
  <c r="W157" i="4"/>
  <c r="AA160" i="4"/>
  <c r="Z173" i="4"/>
  <c r="X199" i="4"/>
  <c r="W215" i="4"/>
  <c r="X21" i="2"/>
  <c r="X69" i="2"/>
  <c r="X37" i="2"/>
  <c r="X53" i="2"/>
  <c r="O88" i="4"/>
  <c r="Q110" i="4"/>
  <c r="P9" i="4"/>
  <c r="P128" i="4"/>
  <c r="S17" i="4"/>
  <c r="R166" i="4"/>
  <c r="S27" i="4"/>
  <c r="S230" i="4"/>
  <c r="P40" i="4"/>
  <c r="O56" i="4"/>
  <c r="P72" i="4"/>
  <c r="S238" i="4"/>
  <c r="R238" i="4"/>
  <c r="Q238" i="4"/>
  <c r="P238" i="4"/>
  <c r="O238" i="4"/>
  <c r="Q17" i="4"/>
  <c r="P17" i="4"/>
  <c r="S40" i="4"/>
  <c r="R40" i="4"/>
  <c r="Q40" i="4"/>
  <c r="O128" i="4"/>
  <c r="O17" i="4"/>
  <c r="P110" i="4"/>
  <c r="R110" i="4"/>
  <c r="O110" i="4"/>
  <c r="R88" i="4"/>
  <c r="Q88" i="4"/>
  <c r="P88" i="4"/>
  <c r="S9" i="4"/>
  <c r="R9" i="4"/>
  <c r="Q9" i="4"/>
  <c r="R72" i="4"/>
  <c r="O72" i="4"/>
  <c r="AA6" i="2"/>
  <c r="AA22" i="2"/>
  <c r="AA38" i="2"/>
  <c r="AA54" i="2"/>
  <c r="AA70" i="2"/>
  <c r="Y8" i="2"/>
  <c r="Y24" i="2"/>
  <c r="Y40" i="2"/>
  <c r="Y56" i="2"/>
  <c r="Y72" i="2"/>
  <c r="W10" i="2"/>
  <c r="W26" i="2"/>
  <c r="W42" i="2"/>
  <c r="W58" i="2"/>
  <c r="W74" i="2"/>
  <c r="X13" i="2"/>
  <c r="X29" i="2"/>
  <c r="X45" i="2"/>
  <c r="X61" i="2"/>
  <c r="X77" i="2"/>
  <c r="AA14" i="2"/>
  <c r="AA30" i="2"/>
  <c r="AA46" i="2"/>
  <c r="AA62" i="2"/>
  <c r="AA78" i="2"/>
  <c r="Y16" i="2"/>
  <c r="Y32" i="2"/>
  <c r="Y48" i="2"/>
  <c r="Y64" i="2"/>
  <c r="W18" i="2"/>
  <c r="W34" i="2"/>
  <c r="W50" i="2"/>
  <c r="W66" i="2"/>
  <c r="Z115" i="2"/>
  <c r="Y115" i="2"/>
  <c r="X115" i="2"/>
  <c r="W115" i="2"/>
  <c r="AA115" i="2"/>
  <c r="Z155" i="2"/>
  <c r="Y155" i="2"/>
  <c r="X155" i="2"/>
  <c r="W155" i="2"/>
  <c r="AA155" i="2"/>
  <c r="Z179" i="2"/>
  <c r="Y179" i="2"/>
  <c r="X179" i="2"/>
  <c r="W179" i="2"/>
  <c r="AA179" i="2"/>
  <c r="Z211" i="2"/>
  <c r="Y211" i="2"/>
  <c r="X211" i="2"/>
  <c r="W211" i="2"/>
  <c r="AA211" i="2"/>
  <c r="Z35" i="2"/>
  <c r="Z75" i="2"/>
  <c r="AA81" i="2"/>
  <c r="Z81" i="2"/>
  <c r="Y81" i="2"/>
  <c r="X81" i="2"/>
  <c r="AA89" i="2"/>
  <c r="Z89" i="2"/>
  <c r="Y89" i="2"/>
  <c r="X89" i="2"/>
  <c r="AA97" i="2"/>
  <c r="Z97" i="2"/>
  <c r="Y97" i="2"/>
  <c r="X97" i="2"/>
  <c r="AA105" i="2"/>
  <c r="Z105" i="2"/>
  <c r="Y105" i="2"/>
  <c r="X105" i="2"/>
  <c r="AA113" i="2"/>
  <c r="Z113" i="2"/>
  <c r="Y113" i="2"/>
  <c r="X113" i="2"/>
  <c r="AA121" i="2"/>
  <c r="Z121" i="2"/>
  <c r="Y121" i="2"/>
  <c r="X121" i="2"/>
  <c r="AA129" i="2"/>
  <c r="Z129" i="2"/>
  <c r="Y129" i="2"/>
  <c r="X129" i="2"/>
  <c r="AA137" i="2"/>
  <c r="Z137" i="2"/>
  <c r="Y137" i="2"/>
  <c r="X137" i="2"/>
  <c r="AA145" i="2"/>
  <c r="Z145" i="2"/>
  <c r="Y145" i="2"/>
  <c r="X145" i="2"/>
  <c r="AA153" i="2"/>
  <c r="Z153" i="2"/>
  <c r="Y153" i="2"/>
  <c r="X153" i="2"/>
  <c r="AA161" i="2"/>
  <c r="Z161" i="2"/>
  <c r="Y161" i="2"/>
  <c r="X161" i="2"/>
  <c r="AA169" i="2"/>
  <c r="Z169" i="2"/>
  <c r="Y169" i="2"/>
  <c r="X169" i="2"/>
  <c r="AA177" i="2"/>
  <c r="Z177" i="2"/>
  <c r="Y177" i="2"/>
  <c r="X177" i="2"/>
  <c r="AA185" i="2"/>
  <c r="Z185" i="2"/>
  <c r="Y185" i="2"/>
  <c r="X185" i="2"/>
  <c r="AA193" i="2"/>
  <c r="Z193" i="2"/>
  <c r="Y193" i="2"/>
  <c r="X193" i="2"/>
  <c r="AA201" i="2"/>
  <c r="Z201" i="2"/>
  <c r="Y201" i="2"/>
  <c r="X201" i="2"/>
  <c r="AA209" i="2"/>
  <c r="Z209" i="2"/>
  <c r="Y209" i="2"/>
  <c r="X209" i="2"/>
  <c r="AA4" i="2"/>
  <c r="Y6" i="2"/>
  <c r="W8" i="2"/>
  <c r="Z9" i="2"/>
  <c r="X11" i="2"/>
  <c r="AA12" i="2"/>
  <c r="Y14" i="2"/>
  <c r="W16" i="2"/>
  <c r="Z17" i="2"/>
  <c r="X19" i="2"/>
  <c r="AA20" i="2"/>
  <c r="Y22" i="2"/>
  <c r="W24" i="2"/>
  <c r="Z25" i="2"/>
  <c r="X27" i="2"/>
  <c r="AA28" i="2"/>
  <c r="Y30" i="2"/>
  <c r="W32" i="2"/>
  <c r="Z33" i="2"/>
  <c r="X35" i="2"/>
  <c r="AA36" i="2"/>
  <c r="Y38" i="2"/>
  <c r="W40" i="2"/>
  <c r="Z41" i="2"/>
  <c r="X43" i="2"/>
  <c r="AA44" i="2"/>
  <c r="Y46" i="2"/>
  <c r="W48" i="2"/>
  <c r="Z49" i="2"/>
  <c r="X51" i="2"/>
  <c r="AA52" i="2"/>
  <c r="Y54" i="2"/>
  <c r="W56" i="2"/>
  <c r="Z57" i="2"/>
  <c r="X59" i="2"/>
  <c r="AA60" i="2"/>
  <c r="Y62" i="2"/>
  <c r="W64" i="2"/>
  <c r="Z65" i="2"/>
  <c r="X67" i="2"/>
  <c r="AA68" i="2"/>
  <c r="Y70" i="2"/>
  <c r="W72" i="2"/>
  <c r="Z73" i="2"/>
  <c r="X75" i="2"/>
  <c r="AA76" i="2"/>
  <c r="Y78" i="2"/>
  <c r="W113" i="2"/>
  <c r="W177" i="2"/>
  <c r="Z83" i="2"/>
  <c r="Y83" i="2"/>
  <c r="X83" i="2"/>
  <c r="W83" i="2"/>
  <c r="AA83" i="2"/>
  <c r="Z139" i="2"/>
  <c r="Y139" i="2"/>
  <c r="X139" i="2"/>
  <c r="W139" i="2"/>
  <c r="AA139" i="2"/>
  <c r="Z195" i="2"/>
  <c r="Y195" i="2"/>
  <c r="X195" i="2"/>
  <c r="W195" i="2"/>
  <c r="AA195" i="2"/>
  <c r="Z19" i="2"/>
  <c r="W82" i="2"/>
  <c r="AA82" i="2"/>
  <c r="Y82" i="2"/>
  <c r="X82" i="2"/>
  <c r="W90" i="2"/>
  <c r="AA90" i="2"/>
  <c r="Y90" i="2"/>
  <c r="X90" i="2"/>
  <c r="W98" i="2"/>
  <c r="AA98" i="2"/>
  <c r="Y98" i="2"/>
  <c r="X98" i="2"/>
  <c r="W106" i="2"/>
  <c r="AA106" i="2"/>
  <c r="Y106" i="2"/>
  <c r="X106" i="2"/>
  <c r="W114" i="2"/>
  <c r="AA114" i="2"/>
  <c r="Y114" i="2"/>
  <c r="X114" i="2"/>
  <c r="W122" i="2"/>
  <c r="AA122" i="2"/>
  <c r="Y122" i="2"/>
  <c r="X122" i="2"/>
  <c r="W130" i="2"/>
  <c r="AA130" i="2"/>
  <c r="Y130" i="2"/>
  <c r="X130" i="2"/>
  <c r="W138" i="2"/>
  <c r="AA138" i="2"/>
  <c r="Y138" i="2"/>
  <c r="X138" i="2"/>
  <c r="W146" i="2"/>
  <c r="AA146" i="2"/>
  <c r="Y146" i="2"/>
  <c r="X146" i="2"/>
  <c r="W154" i="2"/>
  <c r="AA154" i="2"/>
  <c r="Y154" i="2"/>
  <c r="X154" i="2"/>
  <c r="W162" i="2"/>
  <c r="AA162" i="2"/>
  <c r="Y162" i="2"/>
  <c r="X162" i="2"/>
  <c r="W170" i="2"/>
  <c r="AA170" i="2"/>
  <c r="Y170" i="2"/>
  <c r="X170" i="2"/>
  <c r="W178" i="2"/>
  <c r="AA178" i="2"/>
  <c r="Y178" i="2"/>
  <c r="X178" i="2"/>
  <c r="W186" i="2"/>
  <c r="AA186" i="2"/>
  <c r="Y186" i="2"/>
  <c r="X186" i="2"/>
  <c r="W194" i="2"/>
  <c r="AA194" i="2"/>
  <c r="Y194" i="2"/>
  <c r="X194" i="2"/>
  <c r="W202" i="2"/>
  <c r="AA202" i="2"/>
  <c r="Y202" i="2"/>
  <c r="X202" i="2"/>
  <c r="W210" i="2"/>
  <c r="AA210" i="2"/>
  <c r="Y210" i="2"/>
  <c r="X210" i="2"/>
  <c r="W5" i="2"/>
  <c r="Z6" i="2"/>
  <c r="X8" i="2"/>
  <c r="AA9" i="2"/>
  <c r="Y11" i="2"/>
  <c r="W13" i="2"/>
  <c r="Z14" i="2"/>
  <c r="X16" i="2"/>
  <c r="AA17" i="2"/>
  <c r="Y19" i="2"/>
  <c r="W21" i="2"/>
  <c r="Z22" i="2"/>
  <c r="X24" i="2"/>
  <c r="AA25" i="2"/>
  <c r="Y27" i="2"/>
  <c r="W29" i="2"/>
  <c r="Z30" i="2"/>
  <c r="X32" i="2"/>
  <c r="AA33" i="2"/>
  <c r="Y35" i="2"/>
  <c r="W37" i="2"/>
  <c r="Z38" i="2"/>
  <c r="X40" i="2"/>
  <c r="AA41" i="2"/>
  <c r="Y43" i="2"/>
  <c r="W45" i="2"/>
  <c r="Z46" i="2"/>
  <c r="X48" i="2"/>
  <c r="AA49" i="2"/>
  <c r="Y51" i="2"/>
  <c r="W53" i="2"/>
  <c r="Z54" i="2"/>
  <c r="X56" i="2"/>
  <c r="AA57" i="2"/>
  <c r="Y59" i="2"/>
  <c r="W61" i="2"/>
  <c r="Z62" i="2"/>
  <c r="X64" i="2"/>
  <c r="AA65" i="2"/>
  <c r="Y67" i="2"/>
  <c r="W69" i="2"/>
  <c r="Z70" i="2"/>
  <c r="X72" i="2"/>
  <c r="AA73" i="2"/>
  <c r="Y75" i="2"/>
  <c r="W77" i="2"/>
  <c r="Z78" i="2"/>
  <c r="W89" i="2"/>
  <c r="Z114" i="2"/>
  <c r="W153" i="2"/>
  <c r="Z178" i="2"/>
  <c r="Z91" i="2"/>
  <c r="Y91" i="2"/>
  <c r="X91" i="2"/>
  <c r="W91" i="2"/>
  <c r="AA91" i="2"/>
  <c r="Z147" i="2"/>
  <c r="Y147" i="2"/>
  <c r="X147" i="2"/>
  <c r="W147" i="2"/>
  <c r="AA147" i="2"/>
  <c r="Z187" i="2"/>
  <c r="Y187" i="2"/>
  <c r="X187" i="2"/>
  <c r="W187" i="2"/>
  <c r="AA187" i="2"/>
  <c r="Z11" i="2"/>
  <c r="Z27" i="2"/>
  <c r="Z43" i="2"/>
  <c r="AA84" i="2"/>
  <c r="Z84" i="2"/>
  <c r="Y84" i="2"/>
  <c r="W84" i="2"/>
  <c r="AA92" i="2"/>
  <c r="Z92" i="2"/>
  <c r="Y92" i="2"/>
  <c r="W92" i="2"/>
  <c r="AA100" i="2"/>
  <c r="Z100" i="2"/>
  <c r="Y100" i="2"/>
  <c r="W100" i="2"/>
  <c r="AA108" i="2"/>
  <c r="Z108" i="2"/>
  <c r="Y108" i="2"/>
  <c r="W108" i="2"/>
  <c r="AA116" i="2"/>
  <c r="Z116" i="2"/>
  <c r="Y116" i="2"/>
  <c r="W116" i="2"/>
  <c r="AA124" i="2"/>
  <c r="Z124" i="2"/>
  <c r="Y124" i="2"/>
  <c r="W124" i="2"/>
  <c r="AA132" i="2"/>
  <c r="Z132" i="2"/>
  <c r="Y132" i="2"/>
  <c r="W132" i="2"/>
  <c r="AA140" i="2"/>
  <c r="Z140" i="2"/>
  <c r="Y140" i="2"/>
  <c r="W140" i="2"/>
  <c r="AA148" i="2"/>
  <c r="Z148" i="2"/>
  <c r="Y148" i="2"/>
  <c r="W148" i="2"/>
  <c r="AA156" i="2"/>
  <c r="Z156" i="2"/>
  <c r="Y156" i="2"/>
  <c r="W156" i="2"/>
  <c r="AA164" i="2"/>
  <c r="Z164" i="2"/>
  <c r="Y164" i="2"/>
  <c r="W164" i="2"/>
  <c r="AA172" i="2"/>
  <c r="Z172" i="2"/>
  <c r="Y172" i="2"/>
  <c r="W172" i="2"/>
  <c r="AA180" i="2"/>
  <c r="Z180" i="2"/>
  <c r="Y180" i="2"/>
  <c r="W180" i="2"/>
  <c r="AA188" i="2"/>
  <c r="Z188" i="2"/>
  <c r="Y188" i="2"/>
  <c r="W188" i="2"/>
  <c r="AA196" i="2"/>
  <c r="Z196" i="2"/>
  <c r="Y196" i="2"/>
  <c r="W196" i="2"/>
  <c r="AA204" i="2"/>
  <c r="Z204" i="2"/>
  <c r="Y204" i="2"/>
  <c r="W204" i="2"/>
  <c r="AA212" i="2"/>
  <c r="Z212" i="2"/>
  <c r="Y212" i="2"/>
  <c r="W212" i="2"/>
  <c r="Y5" i="2"/>
  <c r="W7" i="2"/>
  <c r="Z8" i="2"/>
  <c r="X10" i="2"/>
  <c r="AA11" i="2"/>
  <c r="Y13" i="2"/>
  <c r="W15" i="2"/>
  <c r="Z16" i="2"/>
  <c r="X18" i="2"/>
  <c r="AA19" i="2"/>
  <c r="Y21" i="2"/>
  <c r="W23" i="2"/>
  <c r="Z24" i="2"/>
  <c r="X26" i="2"/>
  <c r="AA27" i="2"/>
  <c r="Y29" i="2"/>
  <c r="W31" i="2"/>
  <c r="Z32" i="2"/>
  <c r="X34" i="2"/>
  <c r="AA35" i="2"/>
  <c r="Y37" i="2"/>
  <c r="W39" i="2"/>
  <c r="Z40" i="2"/>
  <c r="X42" i="2"/>
  <c r="AA43" i="2"/>
  <c r="Y45" i="2"/>
  <c r="W47" i="2"/>
  <c r="Z48" i="2"/>
  <c r="X50" i="2"/>
  <c r="AA51" i="2"/>
  <c r="Y53" i="2"/>
  <c r="W55" i="2"/>
  <c r="Z56" i="2"/>
  <c r="X58" i="2"/>
  <c r="AA59" i="2"/>
  <c r="Y61" i="2"/>
  <c r="W63" i="2"/>
  <c r="Z64" i="2"/>
  <c r="X66" i="2"/>
  <c r="AA67" i="2"/>
  <c r="Y69" i="2"/>
  <c r="W71" i="2"/>
  <c r="Z72" i="2"/>
  <c r="X74" i="2"/>
  <c r="AA75" i="2"/>
  <c r="Y77" i="2"/>
  <c r="X92" i="2"/>
  <c r="W105" i="2"/>
  <c r="Z130" i="2"/>
  <c r="X156" i="2"/>
  <c r="W169" i="2"/>
  <c r="Z194" i="2"/>
  <c r="Z123" i="2"/>
  <c r="Y123" i="2"/>
  <c r="X123" i="2"/>
  <c r="W123" i="2"/>
  <c r="AA123" i="2"/>
  <c r="Z67" i="2"/>
  <c r="X85" i="2"/>
  <c r="W85" i="2"/>
  <c r="Z85" i="2"/>
  <c r="Y85" i="2"/>
  <c r="X93" i="2"/>
  <c r="W93" i="2"/>
  <c r="Z93" i="2"/>
  <c r="Y93" i="2"/>
  <c r="X101" i="2"/>
  <c r="W101" i="2"/>
  <c r="Z101" i="2"/>
  <c r="Y101" i="2"/>
  <c r="X109" i="2"/>
  <c r="W109" i="2"/>
  <c r="Z109" i="2"/>
  <c r="Y109" i="2"/>
  <c r="X117" i="2"/>
  <c r="W117" i="2"/>
  <c r="Z117" i="2"/>
  <c r="Y117" i="2"/>
  <c r="X125" i="2"/>
  <c r="W125" i="2"/>
  <c r="Z125" i="2"/>
  <c r="Y125" i="2"/>
  <c r="X133" i="2"/>
  <c r="W133" i="2"/>
  <c r="Z133" i="2"/>
  <c r="Y133" i="2"/>
  <c r="X141" i="2"/>
  <c r="W141" i="2"/>
  <c r="Z141" i="2"/>
  <c r="Y141" i="2"/>
  <c r="X149" i="2"/>
  <c r="W149" i="2"/>
  <c r="Z149" i="2"/>
  <c r="Y149" i="2"/>
  <c r="X157" i="2"/>
  <c r="W157" i="2"/>
  <c r="Z157" i="2"/>
  <c r="Y157" i="2"/>
  <c r="X165" i="2"/>
  <c r="W165" i="2"/>
  <c r="Z165" i="2"/>
  <c r="Y165" i="2"/>
  <c r="X173" i="2"/>
  <c r="W173" i="2"/>
  <c r="Z173" i="2"/>
  <c r="Y173" i="2"/>
  <c r="X181" i="2"/>
  <c r="W181" i="2"/>
  <c r="Z181" i="2"/>
  <c r="Y181" i="2"/>
  <c r="X189" i="2"/>
  <c r="W189" i="2"/>
  <c r="Z189" i="2"/>
  <c r="Y189" i="2"/>
  <c r="X197" i="2"/>
  <c r="W197" i="2"/>
  <c r="Z197" i="2"/>
  <c r="Y197" i="2"/>
  <c r="X205" i="2"/>
  <c r="W205" i="2"/>
  <c r="Z205" i="2"/>
  <c r="Y205" i="2"/>
  <c r="X213" i="2"/>
  <c r="W213" i="2"/>
  <c r="Z213" i="2"/>
  <c r="Y213" i="2"/>
  <c r="W4" i="2"/>
  <c r="Z5" i="2"/>
  <c r="X7" i="2"/>
  <c r="Y10" i="2"/>
  <c r="W12" i="2"/>
  <c r="Z13" i="2"/>
  <c r="X15" i="2"/>
  <c r="Y18" i="2"/>
  <c r="W20" i="2"/>
  <c r="Z21" i="2"/>
  <c r="X23" i="2"/>
  <c r="Y26" i="2"/>
  <c r="W28" i="2"/>
  <c r="Z29" i="2"/>
  <c r="X31" i="2"/>
  <c r="Y34" i="2"/>
  <c r="W36" i="2"/>
  <c r="Z37" i="2"/>
  <c r="X39" i="2"/>
  <c r="Y42" i="2"/>
  <c r="W44" i="2"/>
  <c r="Z45" i="2"/>
  <c r="X47" i="2"/>
  <c r="Y50" i="2"/>
  <c r="W52" i="2"/>
  <c r="Z53" i="2"/>
  <c r="X55" i="2"/>
  <c r="Y58" i="2"/>
  <c r="W60" i="2"/>
  <c r="Z61" i="2"/>
  <c r="X63" i="2"/>
  <c r="Y66" i="2"/>
  <c r="W68" i="2"/>
  <c r="Z69" i="2"/>
  <c r="X71" i="2"/>
  <c r="Y74" i="2"/>
  <c r="W76" i="2"/>
  <c r="Z77" i="2"/>
  <c r="W81" i="2"/>
  <c r="AA93" i="2"/>
  <c r="Z106" i="2"/>
  <c r="X132" i="2"/>
  <c r="W145" i="2"/>
  <c r="AA157" i="2"/>
  <c r="Z170" i="2"/>
  <c r="X196" i="2"/>
  <c r="W209" i="2"/>
  <c r="Z131" i="2"/>
  <c r="Y131" i="2"/>
  <c r="X131" i="2"/>
  <c r="W131" i="2"/>
  <c r="AA131" i="2"/>
  <c r="Z171" i="2"/>
  <c r="Y171" i="2"/>
  <c r="X171" i="2"/>
  <c r="W171" i="2"/>
  <c r="AA171" i="2"/>
  <c r="Z51" i="2"/>
  <c r="Z59" i="2"/>
  <c r="AA86" i="2"/>
  <c r="Z86" i="2"/>
  <c r="Y86" i="2"/>
  <c r="X86" i="2"/>
  <c r="W86" i="2"/>
  <c r="AA94" i="2"/>
  <c r="Z94" i="2"/>
  <c r="Y94" i="2"/>
  <c r="X94" i="2"/>
  <c r="W94" i="2"/>
  <c r="AA102" i="2"/>
  <c r="Z102" i="2"/>
  <c r="Y102" i="2"/>
  <c r="X102" i="2"/>
  <c r="W102" i="2"/>
  <c r="AA110" i="2"/>
  <c r="Z110" i="2"/>
  <c r="Y110" i="2"/>
  <c r="X110" i="2"/>
  <c r="W110" i="2"/>
  <c r="AA118" i="2"/>
  <c r="Z118" i="2"/>
  <c r="Y118" i="2"/>
  <c r="X118" i="2"/>
  <c r="W118" i="2"/>
  <c r="AA126" i="2"/>
  <c r="Z126" i="2"/>
  <c r="Y126" i="2"/>
  <c r="X126" i="2"/>
  <c r="W126" i="2"/>
  <c r="AA134" i="2"/>
  <c r="Z134" i="2"/>
  <c r="Y134" i="2"/>
  <c r="X134" i="2"/>
  <c r="W134" i="2"/>
  <c r="AA142" i="2"/>
  <c r="Z142" i="2"/>
  <c r="Y142" i="2"/>
  <c r="X142" i="2"/>
  <c r="W142" i="2"/>
  <c r="AA150" i="2"/>
  <c r="Z150" i="2"/>
  <c r="Y150" i="2"/>
  <c r="X150" i="2"/>
  <c r="W150" i="2"/>
  <c r="AA158" i="2"/>
  <c r="Z158" i="2"/>
  <c r="Y158" i="2"/>
  <c r="X158" i="2"/>
  <c r="W158" i="2"/>
  <c r="AA166" i="2"/>
  <c r="Z166" i="2"/>
  <c r="Y166" i="2"/>
  <c r="X166" i="2"/>
  <c r="W166" i="2"/>
  <c r="AA174" i="2"/>
  <c r="Z174" i="2"/>
  <c r="Y174" i="2"/>
  <c r="X174" i="2"/>
  <c r="W174" i="2"/>
  <c r="AA182" i="2"/>
  <c r="Z182" i="2"/>
  <c r="Y182" i="2"/>
  <c r="X182" i="2"/>
  <c r="W182" i="2"/>
  <c r="AA190" i="2"/>
  <c r="Z190" i="2"/>
  <c r="Y190" i="2"/>
  <c r="X190" i="2"/>
  <c r="W190" i="2"/>
  <c r="AA198" i="2"/>
  <c r="Z198" i="2"/>
  <c r="Y198" i="2"/>
  <c r="X198" i="2"/>
  <c r="W198" i="2"/>
  <c r="AA206" i="2"/>
  <c r="Z206" i="2"/>
  <c r="Y206" i="2"/>
  <c r="X206" i="2"/>
  <c r="W206" i="2"/>
  <c r="AA214" i="2"/>
  <c r="Z214" i="2"/>
  <c r="Y214" i="2"/>
  <c r="X214" i="2"/>
  <c r="W214" i="2"/>
  <c r="X4" i="2"/>
  <c r="Y7" i="2"/>
  <c r="W9" i="2"/>
  <c r="Z10" i="2"/>
  <c r="X12" i="2"/>
  <c r="Y15" i="2"/>
  <c r="W17" i="2"/>
  <c r="Z18" i="2"/>
  <c r="X20" i="2"/>
  <c r="Y23" i="2"/>
  <c r="W25" i="2"/>
  <c r="Z26" i="2"/>
  <c r="X28" i="2"/>
  <c r="Y31" i="2"/>
  <c r="W33" i="2"/>
  <c r="Z34" i="2"/>
  <c r="X36" i="2"/>
  <c r="Y39" i="2"/>
  <c r="W41" i="2"/>
  <c r="Z42" i="2"/>
  <c r="X44" i="2"/>
  <c r="Y47" i="2"/>
  <c r="W49" i="2"/>
  <c r="Z50" i="2"/>
  <c r="X52" i="2"/>
  <c r="Y55" i="2"/>
  <c r="W57" i="2"/>
  <c r="Z58" i="2"/>
  <c r="X60" i="2"/>
  <c r="Y63" i="2"/>
  <c r="W65" i="2"/>
  <c r="Z66" i="2"/>
  <c r="X68" i="2"/>
  <c r="Y71" i="2"/>
  <c r="W73" i="2"/>
  <c r="Z74" i="2"/>
  <c r="X76" i="2"/>
  <c r="Z82" i="2"/>
  <c r="X108" i="2"/>
  <c r="W121" i="2"/>
  <c r="AA133" i="2"/>
  <c r="Z146" i="2"/>
  <c r="X172" i="2"/>
  <c r="W185" i="2"/>
  <c r="AA197" i="2"/>
  <c r="Z210" i="2"/>
  <c r="Z99" i="2"/>
  <c r="Y99" i="2"/>
  <c r="X99" i="2"/>
  <c r="W99" i="2"/>
  <c r="AA99" i="2"/>
  <c r="AA79" i="2"/>
  <c r="Z79" i="2"/>
  <c r="X79" i="2"/>
  <c r="W79" i="2"/>
  <c r="AA87" i="2"/>
  <c r="Z87" i="2"/>
  <c r="X87" i="2"/>
  <c r="W87" i="2"/>
  <c r="AA95" i="2"/>
  <c r="Z95" i="2"/>
  <c r="X95" i="2"/>
  <c r="W95" i="2"/>
  <c r="AA103" i="2"/>
  <c r="Z103" i="2"/>
  <c r="X103" i="2"/>
  <c r="W103" i="2"/>
  <c r="AA111" i="2"/>
  <c r="Z111" i="2"/>
  <c r="X111" i="2"/>
  <c r="W111" i="2"/>
  <c r="AA119" i="2"/>
  <c r="Z119" i="2"/>
  <c r="X119" i="2"/>
  <c r="W119" i="2"/>
  <c r="AA127" i="2"/>
  <c r="Z127" i="2"/>
  <c r="X127" i="2"/>
  <c r="W127" i="2"/>
  <c r="AA135" i="2"/>
  <c r="Z135" i="2"/>
  <c r="X135" i="2"/>
  <c r="W135" i="2"/>
  <c r="AA143" i="2"/>
  <c r="Z143" i="2"/>
  <c r="X143" i="2"/>
  <c r="W143" i="2"/>
  <c r="AA151" i="2"/>
  <c r="Z151" i="2"/>
  <c r="X151" i="2"/>
  <c r="W151" i="2"/>
  <c r="AA159" i="2"/>
  <c r="Z159" i="2"/>
  <c r="X159" i="2"/>
  <c r="W159" i="2"/>
  <c r="AA167" i="2"/>
  <c r="Z167" i="2"/>
  <c r="X167" i="2"/>
  <c r="W167" i="2"/>
  <c r="AA175" i="2"/>
  <c r="Z175" i="2"/>
  <c r="X175" i="2"/>
  <c r="W175" i="2"/>
  <c r="AA183" i="2"/>
  <c r="Z183" i="2"/>
  <c r="X183" i="2"/>
  <c r="W183" i="2"/>
  <c r="AA191" i="2"/>
  <c r="Z191" i="2"/>
  <c r="X191" i="2"/>
  <c r="W191" i="2"/>
  <c r="AA199" i="2"/>
  <c r="Z199" i="2"/>
  <c r="X199" i="2"/>
  <c r="W199" i="2"/>
  <c r="AA207" i="2"/>
  <c r="Z207" i="2"/>
  <c r="X207" i="2"/>
  <c r="W207" i="2"/>
  <c r="V215" i="2"/>
  <c r="Y4" i="2"/>
  <c r="W6" i="2"/>
  <c r="Z7" i="2"/>
  <c r="X9" i="2"/>
  <c r="Y12" i="2"/>
  <c r="W14" i="2"/>
  <c r="Z15" i="2"/>
  <c r="X17" i="2"/>
  <c r="Y20" i="2"/>
  <c r="W22" i="2"/>
  <c r="Z23" i="2"/>
  <c r="X25" i="2"/>
  <c r="Y28" i="2"/>
  <c r="W30" i="2"/>
  <c r="Z31" i="2"/>
  <c r="X33" i="2"/>
  <c r="Y36" i="2"/>
  <c r="W38" i="2"/>
  <c r="Z39" i="2"/>
  <c r="X41" i="2"/>
  <c r="Y44" i="2"/>
  <c r="W46" i="2"/>
  <c r="Z47" i="2"/>
  <c r="X49" i="2"/>
  <c r="Y52" i="2"/>
  <c r="W54" i="2"/>
  <c r="Z55" i="2"/>
  <c r="X57" i="2"/>
  <c r="Y60" i="2"/>
  <c r="W62" i="2"/>
  <c r="Z63" i="2"/>
  <c r="X65" i="2"/>
  <c r="Y68" i="2"/>
  <c r="W70" i="2"/>
  <c r="Z71" i="2"/>
  <c r="X73" i="2"/>
  <c r="Y76" i="2"/>
  <c r="W78" i="2"/>
  <c r="X84" i="2"/>
  <c r="W97" i="2"/>
  <c r="AA109" i="2"/>
  <c r="Z122" i="2"/>
  <c r="Y135" i="2"/>
  <c r="X148" i="2"/>
  <c r="W161" i="2"/>
  <c r="AA173" i="2"/>
  <c r="Z186" i="2"/>
  <c r="Y199" i="2"/>
  <c r="X212" i="2"/>
  <c r="Z107" i="2"/>
  <c r="Y107" i="2"/>
  <c r="X107" i="2"/>
  <c r="W107" i="2"/>
  <c r="AA107" i="2"/>
  <c r="Z163" i="2"/>
  <c r="Y163" i="2"/>
  <c r="X163" i="2"/>
  <c r="W163" i="2"/>
  <c r="AA163" i="2"/>
  <c r="Z203" i="2"/>
  <c r="Y203" i="2"/>
  <c r="X203" i="2"/>
  <c r="W203" i="2"/>
  <c r="AA203" i="2"/>
  <c r="Y80" i="2"/>
  <c r="X80" i="2"/>
  <c r="W80" i="2"/>
  <c r="AA80" i="2"/>
  <c r="Z80" i="2"/>
  <c r="Y88" i="2"/>
  <c r="X88" i="2"/>
  <c r="W88" i="2"/>
  <c r="AA88" i="2"/>
  <c r="Z88" i="2"/>
  <c r="Y96" i="2"/>
  <c r="X96" i="2"/>
  <c r="W96" i="2"/>
  <c r="AA96" i="2"/>
  <c r="Z96" i="2"/>
  <c r="Y104" i="2"/>
  <c r="X104" i="2"/>
  <c r="W104" i="2"/>
  <c r="AA104" i="2"/>
  <c r="Z104" i="2"/>
  <c r="Y112" i="2"/>
  <c r="X112" i="2"/>
  <c r="W112" i="2"/>
  <c r="AA112" i="2"/>
  <c r="Z112" i="2"/>
  <c r="Y120" i="2"/>
  <c r="X120" i="2"/>
  <c r="W120" i="2"/>
  <c r="AA120" i="2"/>
  <c r="Z120" i="2"/>
  <c r="Y128" i="2"/>
  <c r="X128" i="2"/>
  <c r="W128" i="2"/>
  <c r="AA128" i="2"/>
  <c r="Z128" i="2"/>
  <c r="Y136" i="2"/>
  <c r="X136" i="2"/>
  <c r="W136" i="2"/>
  <c r="AA136" i="2"/>
  <c r="Z136" i="2"/>
  <c r="Y144" i="2"/>
  <c r="X144" i="2"/>
  <c r="W144" i="2"/>
  <c r="AA144" i="2"/>
  <c r="Z144" i="2"/>
  <c r="Y152" i="2"/>
  <c r="X152" i="2"/>
  <c r="W152" i="2"/>
  <c r="AA152" i="2"/>
  <c r="Z152" i="2"/>
  <c r="Y160" i="2"/>
  <c r="X160" i="2"/>
  <c r="W160" i="2"/>
  <c r="AA160" i="2"/>
  <c r="Z160" i="2"/>
  <c r="Y168" i="2"/>
  <c r="X168" i="2"/>
  <c r="W168" i="2"/>
  <c r="AA168" i="2"/>
  <c r="Z168" i="2"/>
  <c r="Y176" i="2"/>
  <c r="X176" i="2"/>
  <c r="W176" i="2"/>
  <c r="AA176" i="2"/>
  <c r="Z176" i="2"/>
  <c r="Y184" i="2"/>
  <c r="X184" i="2"/>
  <c r="W184" i="2"/>
  <c r="AA184" i="2"/>
  <c r="Z184" i="2"/>
  <c r="Y192" i="2"/>
  <c r="X192" i="2"/>
  <c r="W192" i="2"/>
  <c r="AA192" i="2"/>
  <c r="Z192" i="2"/>
  <c r="Y200" i="2"/>
  <c r="X200" i="2"/>
  <c r="W200" i="2"/>
  <c r="AA200" i="2"/>
  <c r="Z200" i="2"/>
  <c r="Y208" i="2"/>
  <c r="X208" i="2"/>
  <c r="W208" i="2"/>
  <c r="AA208" i="2"/>
  <c r="Z208" i="2"/>
  <c r="AA85" i="2"/>
  <c r="Z98" i="2"/>
  <c r="Y111" i="2"/>
  <c r="X124" i="2"/>
  <c r="W137" i="2"/>
  <c r="AA149" i="2"/>
  <c r="Z162" i="2"/>
  <c r="Y175" i="2"/>
  <c r="X188" i="2"/>
  <c r="W201" i="2"/>
  <c r="AA213" i="2"/>
  <c r="P211" i="2"/>
  <c r="P44" i="2"/>
  <c r="Q83" i="2"/>
  <c r="Q12" i="2"/>
  <c r="O147" i="2"/>
  <c r="Q28" i="2"/>
  <c r="Q60" i="2"/>
  <c r="P115" i="2"/>
  <c r="S179" i="2"/>
  <c r="P4" i="2"/>
  <c r="R36" i="2"/>
  <c r="R68" i="2"/>
  <c r="O131" i="2"/>
  <c r="P195" i="2"/>
  <c r="R20" i="2"/>
  <c r="O52" i="2"/>
  <c r="P99" i="2"/>
  <c r="S163" i="2"/>
  <c r="Q203" i="2"/>
  <c r="P203" i="2"/>
  <c r="S203" i="2"/>
  <c r="R203" i="2"/>
  <c r="O203" i="2"/>
  <c r="S28" i="2"/>
  <c r="O28" i="2"/>
  <c r="R28" i="2"/>
  <c r="S60" i="2"/>
  <c r="R60" i="2"/>
  <c r="F5" i="5"/>
  <c r="F11" i="5"/>
  <c r="D22" i="5"/>
  <c r="E11" i="5"/>
  <c r="E5" i="5"/>
  <c r="C15" i="5"/>
  <c r="C16" i="5"/>
  <c r="C17" i="5"/>
  <c r="X279" i="4"/>
  <c r="AA279" i="4"/>
  <c r="AA280" i="4"/>
  <c r="F10" i="5"/>
  <c r="W279" i="4"/>
  <c r="Z279" i="4"/>
  <c r="Y279" i="4"/>
  <c r="R128" i="4"/>
  <c r="O230" i="4"/>
  <c r="P230" i="4"/>
  <c r="Q230" i="4"/>
  <c r="P27" i="4"/>
  <c r="R230" i="4"/>
  <c r="O40" i="4"/>
  <c r="Q27" i="4"/>
  <c r="S88" i="4"/>
  <c r="R27" i="4"/>
  <c r="Q56" i="4"/>
  <c r="P28" i="2"/>
  <c r="P60" i="2"/>
  <c r="Q195" i="2"/>
  <c r="R12" i="2"/>
  <c r="R195" i="2"/>
  <c r="S166" i="4"/>
  <c r="O166" i="4"/>
  <c r="P166" i="4"/>
  <c r="Q166" i="4"/>
  <c r="R17" i="4"/>
  <c r="Q72" i="4"/>
  <c r="S110" i="4"/>
  <c r="Q128" i="4"/>
  <c r="P56" i="4"/>
  <c r="O9" i="4"/>
  <c r="S72" i="4"/>
  <c r="S128" i="4"/>
  <c r="R56" i="4"/>
  <c r="O27" i="4"/>
  <c r="S56" i="4"/>
  <c r="S8" i="4"/>
  <c r="R8" i="4"/>
  <c r="Q8" i="4"/>
  <c r="P8" i="4"/>
  <c r="O8" i="4"/>
  <c r="R5" i="4"/>
  <c r="Q5" i="4"/>
  <c r="P5" i="4"/>
  <c r="O5" i="4"/>
  <c r="S5" i="4"/>
  <c r="S19" i="4"/>
  <c r="R19" i="4"/>
  <c r="Q19" i="4"/>
  <c r="P19" i="4"/>
  <c r="O19" i="4"/>
  <c r="R74" i="4"/>
  <c r="Q74" i="4"/>
  <c r="P74" i="4"/>
  <c r="O74" i="4"/>
  <c r="S74" i="4"/>
  <c r="S147" i="4"/>
  <c r="R147" i="4"/>
  <c r="Q147" i="4"/>
  <c r="O147" i="4"/>
  <c r="P147" i="4"/>
  <c r="P140" i="4"/>
  <c r="O140" i="4"/>
  <c r="S140" i="4"/>
  <c r="R140" i="4"/>
  <c r="Q140" i="4"/>
  <c r="S85" i="4"/>
  <c r="R85" i="4"/>
  <c r="Q85" i="4"/>
  <c r="P85" i="4"/>
  <c r="O85" i="4"/>
  <c r="S104" i="4"/>
  <c r="R104" i="4"/>
  <c r="Q104" i="4"/>
  <c r="O104" i="4"/>
  <c r="P104" i="4"/>
  <c r="S54" i="4"/>
  <c r="R54" i="4"/>
  <c r="Q54" i="4"/>
  <c r="P54" i="4"/>
  <c r="O54" i="4"/>
  <c r="O65" i="4"/>
  <c r="Q65" i="4"/>
  <c r="R65" i="4"/>
  <c r="P65" i="4"/>
  <c r="S65" i="4"/>
  <c r="S96" i="4"/>
  <c r="R96" i="4"/>
  <c r="Q96" i="4"/>
  <c r="P96" i="4"/>
  <c r="O96" i="4"/>
  <c r="S118" i="4"/>
  <c r="R118" i="4"/>
  <c r="Q118" i="4"/>
  <c r="P118" i="4"/>
  <c r="O118" i="4"/>
  <c r="O4" i="4"/>
  <c r="S4" i="4"/>
  <c r="R4" i="4"/>
  <c r="Q4" i="4"/>
  <c r="N279" i="4"/>
  <c r="P4" i="4"/>
  <c r="Q135" i="4"/>
  <c r="P135" i="4"/>
  <c r="O135" i="4"/>
  <c r="S135" i="4"/>
  <c r="R135" i="4"/>
  <c r="S11" i="4"/>
  <c r="R11" i="4"/>
  <c r="Q11" i="4"/>
  <c r="P11" i="4"/>
  <c r="O11" i="4"/>
  <c r="Q199" i="4"/>
  <c r="P199" i="4"/>
  <c r="O199" i="4"/>
  <c r="S199" i="4"/>
  <c r="R199" i="4"/>
  <c r="Q263" i="4"/>
  <c r="P263" i="4"/>
  <c r="O263" i="4"/>
  <c r="S263" i="4"/>
  <c r="R263" i="4"/>
  <c r="S200" i="4"/>
  <c r="R200" i="4"/>
  <c r="Q200" i="4"/>
  <c r="P200" i="4"/>
  <c r="O200" i="4"/>
  <c r="S264" i="4"/>
  <c r="R264" i="4"/>
  <c r="Q264" i="4"/>
  <c r="P264" i="4"/>
  <c r="O264" i="4"/>
  <c r="O145" i="4"/>
  <c r="S145" i="4"/>
  <c r="R145" i="4"/>
  <c r="Q145" i="4"/>
  <c r="P145" i="4"/>
  <c r="O209" i="4"/>
  <c r="S209" i="4"/>
  <c r="R209" i="4"/>
  <c r="Q209" i="4"/>
  <c r="P209" i="4"/>
  <c r="O273" i="4"/>
  <c r="S273" i="4"/>
  <c r="R273" i="4"/>
  <c r="Q273" i="4"/>
  <c r="P273" i="4"/>
  <c r="R82" i="4"/>
  <c r="Q82" i="4"/>
  <c r="P82" i="4"/>
  <c r="O82" i="4"/>
  <c r="S82" i="4"/>
  <c r="R146" i="4"/>
  <c r="Q146" i="4"/>
  <c r="P146" i="4"/>
  <c r="O146" i="4"/>
  <c r="S146" i="4"/>
  <c r="R210" i="4"/>
  <c r="Q210" i="4"/>
  <c r="P210" i="4"/>
  <c r="O210" i="4"/>
  <c r="S210" i="4"/>
  <c r="R274" i="4"/>
  <c r="Q274" i="4"/>
  <c r="P274" i="4"/>
  <c r="O274" i="4"/>
  <c r="S274" i="4"/>
  <c r="S91" i="4"/>
  <c r="R91" i="4"/>
  <c r="O91" i="4"/>
  <c r="P91" i="4"/>
  <c r="Q91" i="4"/>
  <c r="S155" i="4"/>
  <c r="R155" i="4"/>
  <c r="Q155" i="4"/>
  <c r="P155" i="4"/>
  <c r="O155" i="4"/>
  <c r="S219" i="4"/>
  <c r="R219" i="4"/>
  <c r="Q219" i="4"/>
  <c r="P219" i="4"/>
  <c r="O219" i="4"/>
  <c r="O20" i="4"/>
  <c r="S20" i="4"/>
  <c r="R20" i="4"/>
  <c r="Q20" i="4"/>
  <c r="P20" i="4"/>
  <c r="P84" i="4"/>
  <c r="O84" i="4"/>
  <c r="R84" i="4"/>
  <c r="S84" i="4"/>
  <c r="Q84" i="4"/>
  <c r="P148" i="4"/>
  <c r="O148" i="4"/>
  <c r="S148" i="4"/>
  <c r="R148" i="4"/>
  <c r="Q148" i="4"/>
  <c r="P212" i="4"/>
  <c r="O212" i="4"/>
  <c r="S212" i="4"/>
  <c r="R212" i="4"/>
  <c r="Q212" i="4"/>
  <c r="P276" i="4"/>
  <c r="O276" i="4"/>
  <c r="S276" i="4"/>
  <c r="R276" i="4"/>
  <c r="Q276" i="4"/>
  <c r="S93" i="4"/>
  <c r="R93" i="4"/>
  <c r="Q93" i="4"/>
  <c r="P93" i="4"/>
  <c r="O93" i="4"/>
  <c r="S157" i="4"/>
  <c r="R157" i="4"/>
  <c r="Q157" i="4"/>
  <c r="P157" i="4"/>
  <c r="O157" i="4"/>
  <c r="S221" i="4"/>
  <c r="R221" i="4"/>
  <c r="Q221" i="4"/>
  <c r="P221" i="4"/>
  <c r="O221" i="4"/>
  <c r="S41" i="4"/>
  <c r="R41" i="4"/>
  <c r="Q41" i="4"/>
  <c r="P41" i="4"/>
  <c r="O41" i="4"/>
  <c r="O12" i="4"/>
  <c r="S12" i="4"/>
  <c r="R12" i="4"/>
  <c r="Q12" i="4"/>
  <c r="P12" i="4"/>
  <c r="Q255" i="4"/>
  <c r="P255" i="4"/>
  <c r="O255" i="4"/>
  <c r="S255" i="4"/>
  <c r="R255" i="4"/>
  <c r="R138" i="4"/>
  <c r="Q138" i="4"/>
  <c r="P138" i="4"/>
  <c r="O138" i="4"/>
  <c r="S138" i="4"/>
  <c r="S83" i="4"/>
  <c r="R83" i="4"/>
  <c r="O83" i="4"/>
  <c r="Q83" i="4"/>
  <c r="P83" i="4"/>
  <c r="S275" i="4"/>
  <c r="R275" i="4"/>
  <c r="Q275" i="4"/>
  <c r="O275" i="4"/>
  <c r="P275" i="4"/>
  <c r="P268" i="4"/>
  <c r="O268" i="4"/>
  <c r="S268" i="4"/>
  <c r="R268" i="4"/>
  <c r="Q268" i="4"/>
  <c r="Q87" i="4"/>
  <c r="P87" i="4"/>
  <c r="O87" i="4"/>
  <c r="S87" i="4"/>
  <c r="R87" i="4"/>
  <c r="S278" i="4"/>
  <c r="R278" i="4"/>
  <c r="Q278" i="4"/>
  <c r="P278" i="4"/>
  <c r="O278" i="4"/>
  <c r="S38" i="4"/>
  <c r="R38" i="4"/>
  <c r="Q38" i="4"/>
  <c r="P38" i="4"/>
  <c r="O38" i="4"/>
  <c r="S49" i="4"/>
  <c r="R49" i="4"/>
  <c r="Q49" i="4"/>
  <c r="P49" i="4"/>
  <c r="O49" i="4"/>
  <c r="S80" i="4"/>
  <c r="R80" i="4"/>
  <c r="Q80" i="4"/>
  <c r="P80" i="4"/>
  <c r="O80" i="4"/>
  <c r="Q95" i="4"/>
  <c r="P95" i="4"/>
  <c r="O95" i="4"/>
  <c r="S95" i="4"/>
  <c r="R95" i="4"/>
  <c r="S112" i="4"/>
  <c r="R112" i="4"/>
  <c r="Q112" i="4"/>
  <c r="O112" i="4"/>
  <c r="P112" i="4"/>
  <c r="Q143" i="4"/>
  <c r="P143" i="4"/>
  <c r="O143" i="4"/>
  <c r="S143" i="4"/>
  <c r="R143" i="4"/>
  <c r="Q207" i="4"/>
  <c r="P207" i="4"/>
  <c r="O207" i="4"/>
  <c r="S207" i="4"/>
  <c r="R207" i="4"/>
  <c r="Q271" i="4"/>
  <c r="P271" i="4"/>
  <c r="O271" i="4"/>
  <c r="S271" i="4"/>
  <c r="R271" i="4"/>
  <c r="S208" i="4"/>
  <c r="R208" i="4"/>
  <c r="Q208" i="4"/>
  <c r="P208" i="4"/>
  <c r="O208" i="4"/>
  <c r="S272" i="4"/>
  <c r="R272" i="4"/>
  <c r="Q272" i="4"/>
  <c r="P272" i="4"/>
  <c r="O272" i="4"/>
  <c r="O153" i="4"/>
  <c r="S153" i="4"/>
  <c r="R153" i="4"/>
  <c r="Q153" i="4"/>
  <c r="P153" i="4"/>
  <c r="O217" i="4"/>
  <c r="S217" i="4"/>
  <c r="R217" i="4"/>
  <c r="Q217" i="4"/>
  <c r="P217" i="4"/>
  <c r="Q26" i="4"/>
  <c r="P26" i="4"/>
  <c r="O26" i="4"/>
  <c r="S26" i="4"/>
  <c r="R26" i="4"/>
  <c r="R90" i="4"/>
  <c r="Q90" i="4"/>
  <c r="P90" i="4"/>
  <c r="O90" i="4"/>
  <c r="S90" i="4"/>
  <c r="R154" i="4"/>
  <c r="Q154" i="4"/>
  <c r="P154" i="4"/>
  <c r="O154" i="4"/>
  <c r="S154" i="4"/>
  <c r="R218" i="4"/>
  <c r="Q218" i="4"/>
  <c r="P218" i="4"/>
  <c r="O218" i="4"/>
  <c r="S218" i="4"/>
  <c r="S35" i="4"/>
  <c r="R35" i="4"/>
  <c r="Q35" i="4"/>
  <c r="P35" i="4"/>
  <c r="O35" i="4"/>
  <c r="S99" i="4"/>
  <c r="R99" i="4"/>
  <c r="O99" i="4"/>
  <c r="Q99" i="4"/>
  <c r="P99" i="4"/>
  <c r="S163" i="4"/>
  <c r="R163" i="4"/>
  <c r="Q163" i="4"/>
  <c r="P163" i="4"/>
  <c r="O163" i="4"/>
  <c r="S227" i="4"/>
  <c r="R227" i="4"/>
  <c r="Q227" i="4"/>
  <c r="P227" i="4"/>
  <c r="O227" i="4"/>
  <c r="O28" i="4"/>
  <c r="S28" i="4"/>
  <c r="R28" i="4"/>
  <c r="Q28" i="4"/>
  <c r="P28" i="4"/>
  <c r="P92" i="4"/>
  <c r="O92" i="4"/>
  <c r="R92" i="4"/>
  <c r="S92" i="4"/>
  <c r="Q92" i="4"/>
  <c r="P156" i="4"/>
  <c r="O156" i="4"/>
  <c r="S156" i="4"/>
  <c r="R156" i="4"/>
  <c r="Q156" i="4"/>
  <c r="P220" i="4"/>
  <c r="O220" i="4"/>
  <c r="S220" i="4"/>
  <c r="R220" i="4"/>
  <c r="Q220" i="4"/>
  <c r="R37" i="4"/>
  <c r="Q37" i="4"/>
  <c r="P37" i="4"/>
  <c r="O37" i="4"/>
  <c r="S37" i="4"/>
  <c r="S101" i="4"/>
  <c r="R101" i="4"/>
  <c r="Q101" i="4"/>
  <c r="P101" i="4"/>
  <c r="O101" i="4"/>
  <c r="S165" i="4"/>
  <c r="R165" i="4"/>
  <c r="Q165" i="4"/>
  <c r="P165" i="4"/>
  <c r="O165" i="4"/>
  <c r="S229" i="4"/>
  <c r="R229" i="4"/>
  <c r="Q229" i="4"/>
  <c r="P229" i="4"/>
  <c r="O229" i="4"/>
  <c r="R29" i="4"/>
  <c r="Q29" i="4"/>
  <c r="P29" i="4"/>
  <c r="O29" i="4"/>
  <c r="S29" i="4"/>
  <c r="S70" i="4"/>
  <c r="P70" i="4"/>
  <c r="O70" i="4"/>
  <c r="R70" i="4"/>
  <c r="Q70" i="4"/>
  <c r="S213" i="4"/>
  <c r="R213" i="4"/>
  <c r="Q213" i="4"/>
  <c r="P213" i="4"/>
  <c r="O213" i="4"/>
  <c r="Q71" i="4"/>
  <c r="P71" i="4"/>
  <c r="O71" i="4"/>
  <c r="S71" i="4"/>
  <c r="R71" i="4"/>
  <c r="S214" i="4"/>
  <c r="R214" i="4"/>
  <c r="Q214" i="4"/>
  <c r="P214" i="4"/>
  <c r="O214" i="4"/>
  <c r="S24" i="4"/>
  <c r="R24" i="4"/>
  <c r="Q24" i="4"/>
  <c r="P24" i="4"/>
  <c r="O24" i="4"/>
  <c r="S270" i="4"/>
  <c r="R270" i="4"/>
  <c r="Q270" i="4"/>
  <c r="P270" i="4"/>
  <c r="O270" i="4"/>
  <c r="S33" i="4"/>
  <c r="R33" i="4"/>
  <c r="Q33" i="4"/>
  <c r="P33" i="4"/>
  <c r="O33" i="4"/>
  <c r="S64" i="4"/>
  <c r="R64" i="4"/>
  <c r="Q64" i="4"/>
  <c r="P64" i="4"/>
  <c r="O64" i="4"/>
  <c r="Q79" i="4"/>
  <c r="P79" i="4"/>
  <c r="O79" i="4"/>
  <c r="S79" i="4"/>
  <c r="R79" i="4"/>
  <c r="S94" i="4"/>
  <c r="P94" i="4"/>
  <c r="R94" i="4"/>
  <c r="Q94" i="4"/>
  <c r="O94" i="4"/>
  <c r="Q151" i="4"/>
  <c r="P151" i="4"/>
  <c r="O151" i="4"/>
  <c r="R151" i="4"/>
  <c r="S151" i="4"/>
  <c r="Q215" i="4"/>
  <c r="P215" i="4"/>
  <c r="O215" i="4"/>
  <c r="R215" i="4"/>
  <c r="S215" i="4"/>
  <c r="S152" i="4"/>
  <c r="R152" i="4"/>
  <c r="Q152" i="4"/>
  <c r="P152" i="4"/>
  <c r="O152" i="4"/>
  <c r="S216" i="4"/>
  <c r="R216" i="4"/>
  <c r="Q216" i="4"/>
  <c r="P216" i="4"/>
  <c r="O216" i="4"/>
  <c r="O97" i="4"/>
  <c r="Q97" i="4"/>
  <c r="S97" i="4"/>
  <c r="R97" i="4"/>
  <c r="P97" i="4"/>
  <c r="O161" i="4"/>
  <c r="S161" i="4"/>
  <c r="R161" i="4"/>
  <c r="Q161" i="4"/>
  <c r="P161" i="4"/>
  <c r="O225" i="4"/>
  <c r="S225" i="4"/>
  <c r="R225" i="4"/>
  <c r="Q225" i="4"/>
  <c r="P225" i="4"/>
  <c r="Q34" i="4"/>
  <c r="P34" i="4"/>
  <c r="O34" i="4"/>
  <c r="S34" i="4"/>
  <c r="R34" i="4"/>
  <c r="R98" i="4"/>
  <c r="Q98" i="4"/>
  <c r="P98" i="4"/>
  <c r="O98" i="4"/>
  <c r="S98" i="4"/>
  <c r="R162" i="4"/>
  <c r="Q162" i="4"/>
  <c r="P162" i="4"/>
  <c r="O162" i="4"/>
  <c r="S162" i="4"/>
  <c r="R226" i="4"/>
  <c r="Q226" i="4"/>
  <c r="P226" i="4"/>
  <c r="O226" i="4"/>
  <c r="S226" i="4"/>
  <c r="S43" i="4"/>
  <c r="R43" i="4"/>
  <c r="Q43" i="4"/>
  <c r="P43" i="4"/>
  <c r="O43" i="4"/>
  <c r="S107" i="4"/>
  <c r="R107" i="4"/>
  <c r="O107" i="4"/>
  <c r="Q107" i="4"/>
  <c r="P107" i="4"/>
  <c r="S171" i="4"/>
  <c r="R171" i="4"/>
  <c r="Q171" i="4"/>
  <c r="P171" i="4"/>
  <c r="O171" i="4"/>
  <c r="S235" i="4"/>
  <c r="R235" i="4"/>
  <c r="Q235" i="4"/>
  <c r="P235" i="4"/>
  <c r="O235" i="4"/>
  <c r="O36" i="4"/>
  <c r="S36" i="4"/>
  <c r="R36" i="4"/>
  <c r="Q36" i="4"/>
  <c r="P36" i="4"/>
  <c r="P100" i="4"/>
  <c r="O100" i="4"/>
  <c r="R100" i="4"/>
  <c r="S100" i="4"/>
  <c r="Q100" i="4"/>
  <c r="P164" i="4"/>
  <c r="O164" i="4"/>
  <c r="Q164" i="4"/>
  <c r="S164" i="4"/>
  <c r="R164" i="4"/>
  <c r="P228" i="4"/>
  <c r="O228" i="4"/>
  <c r="Q228" i="4"/>
  <c r="S228" i="4"/>
  <c r="R228" i="4"/>
  <c r="R45" i="4"/>
  <c r="Q45" i="4"/>
  <c r="P45" i="4"/>
  <c r="O45" i="4"/>
  <c r="S45" i="4"/>
  <c r="S109" i="4"/>
  <c r="R109" i="4"/>
  <c r="Q109" i="4"/>
  <c r="P109" i="4"/>
  <c r="O109" i="4"/>
  <c r="S173" i="4"/>
  <c r="R173" i="4"/>
  <c r="Q173" i="4"/>
  <c r="P173" i="4"/>
  <c r="O173" i="4"/>
  <c r="S237" i="4"/>
  <c r="R237" i="4"/>
  <c r="Q237" i="4"/>
  <c r="P237" i="4"/>
  <c r="O237" i="4"/>
  <c r="S174" i="4"/>
  <c r="R174" i="4"/>
  <c r="Q174" i="4"/>
  <c r="P174" i="4"/>
  <c r="O174" i="4"/>
  <c r="Q18" i="4"/>
  <c r="P18" i="4"/>
  <c r="O18" i="4"/>
  <c r="S18" i="4"/>
  <c r="R18" i="4"/>
  <c r="O137" i="4"/>
  <c r="S137" i="4"/>
  <c r="R137" i="4"/>
  <c r="Q137" i="4"/>
  <c r="P137" i="4"/>
  <c r="S149" i="4"/>
  <c r="R149" i="4"/>
  <c r="Q149" i="4"/>
  <c r="P149" i="4"/>
  <c r="O149" i="4"/>
  <c r="P55" i="4"/>
  <c r="O55" i="4"/>
  <c r="S55" i="4"/>
  <c r="R55" i="4"/>
  <c r="Q55" i="4"/>
  <c r="S150" i="4"/>
  <c r="R150" i="4"/>
  <c r="Q150" i="4"/>
  <c r="P150" i="4"/>
  <c r="O150" i="4"/>
  <c r="P15" i="4"/>
  <c r="O15" i="4"/>
  <c r="S15" i="4"/>
  <c r="R15" i="4"/>
  <c r="Q15" i="4"/>
  <c r="S206" i="4"/>
  <c r="R206" i="4"/>
  <c r="Q206" i="4"/>
  <c r="P206" i="4"/>
  <c r="O206" i="4"/>
  <c r="P23" i="4"/>
  <c r="O23" i="4"/>
  <c r="S23" i="4"/>
  <c r="R23" i="4"/>
  <c r="Q23" i="4"/>
  <c r="S48" i="4"/>
  <c r="R48" i="4"/>
  <c r="Q48" i="4"/>
  <c r="P48" i="4"/>
  <c r="O48" i="4"/>
  <c r="Q63" i="4"/>
  <c r="P63" i="4"/>
  <c r="O63" i="4"/>
  <c r="S63" i="4"/>
  <c r="R63" i="4"/>
  <c r="S78" i="4"/>
  <c r="P78" i="4"/>
  <c r="Q78" i="4"/>
  <c r="O78" i="4"/>
  <c r="R78" i="4"/>
  <c r="Q159" i="4"/>
  <c r="P159" i="4"/>
  <c r="O159" i="4"/>
  <c r="S159" i="4"/>
  <c r="R159" i="4"/>
  <c r="Q223" i="4"/>
  <c r="P223" i="4"/>
  <c r="O223" i="4"/>
  <c r="S223" i="4"/>
  <c r="R223" i="4"/>
  <c r="S160" i="4"/>
  <c r="R160" i="4"/>
  <c r="Q160" i="4"/>
  <c r="P160" i="4"/>
  <c r="O160" i="4"/>
  <c r="S224" i="4"/>
  <c r="R224" i="4"/>
  <c r="Q224" i="4"/>
  <c r="P224" i="4"/>
  <c r="O224" i="4"/>
  <c r="O105" i="4"/>
  <c r="Q105" i="4"/>
  <c r="S105" i="4"/>
  <c r="R105" i="4"/>
  <c r="P105" i="4"/>
  <c r="O169" i="4"/>
  <c r="S169" i="4"/>
  <c r="R169" i="4"/>
  <c r="Q169" i="4"/>
  <c r="P169" i="4"/>
  <c r="O233" i="4"/>
  <c r="S233" i="4"/>
  <c r="R233" i="4"/>
  <c r="Q233" i="4"/>
  <c r="P233" i="4"/>
  <c r="Q42" i="4"/>
  <c r="P42" i="4"/>
  <c r="O42" i="4"/>
  <c r="S42" i="4"/>
  <c r="R42" i="4"/>
  <c r="R106" i="4"/>
  <c r="Q106" i="4"/>
  <c r="P106" i="4"/>
  <c r="O106" i="4"/>
  <c r="S106" i="4"/>
  <c r="R170" i="4"/>
  <c r="Q170" i="4"/>
  <c r="P170" i="4"/>
  <c r="O170" i="4"/>
  <c r="S170" i="4"/>
  <c r="R234" i="4"/>
  <c r="Q234" i="4"/>
  <c r="P234" i="4"/>
  <c r="O234" i="4"/>
  <c r="S234" i="4"/>
  <c r="S51" i="4"/>
  <c r="R51" i="4"/>
  <c r="Q51" i="4"/>
  <c r="P51" i="4"/>
  <c r="O51" i="4"/>
  <c r="S115" i="4"/>
  <c r="R115" i="4"/>
  <c r="Q115" i="4"/>
  <c r="P115" i="4"/>
  <c r="O115" i="4"/>
  <c r="S179" i="4"/>
  <c r="R179" i="4"/>
  <c r="Q179" i="4"/>
  <c r="P179" i="4"/>
  <c r="O179" i="4"/>
  <c r="S243" i="4"/>
  <c r="R243" i="4"/>
  <c r="Q243" i="4"/>
  <c r="P243" i="4"/>
  <c r="O243" i="4"/>
  <c r="O44" i="4"/>
  <c r="S44" i="4"/>
  <c r="R44" i="4"/>
  <c r="Q44" i="4"/>
  <c r="P44" i="4"/>
  <c r="P108" i="4"/>
  <c r="O108" i="4"/>
  <c r="R108" i="4"/>
  <c r="Q108" i="4"/>
  <c r="S108" i="4"/>
  <c r="P172" i="4"/>
  <c r="O172" i="4"/>
  <c r="R172" i="4"/>
  <c r="Q172" i="4"/>
  <c r="S172" i="4"/>
  <c r="P236" i="4"/>
  <c r="O236" i="4"/>
  <c r="R236" i="4"/>
  <c r="Q236" i="4"/>
  <c r="S236" i="4"/>
  <c r="R53" i="4"/>
  <c r="Q53" i="4"/>
  <c r="P53" i="4"/>
  <c r="O53" i="4"/>
  <c r="S53" i="4"/>
  <c r="S117" i="4"/>
  <c r="R117" i="4"/>
  <c r="Q117" i="4"/>
  <c r="P117" i="4"/>
  <c r="O117" i="4"/>
  <c r="S181" i="4"/>
  <c r="R181" i="4"/>
  <c r="Q181" i="4"/>
  <c r="P181" i="4"/>
  <c r="O181" i="4"/>
  <c r="S245" i="4"/>
  <c r="R245" i="4"/>
  <c r="Q245" i="4"/>
  <c r="P245" i="4"/>
  <c r="O245" i="4"/>
  <c r="S134" i="4"/>
  <c r="R134" i="4"/>
  <c r="Q134" i="4"/>
  <c r="P134" i="4"/>
  <c r="O134" i="4"/>
  <c r="Q10" i="4"/>
  <c r="P10" i="4"/>
  <c r="O10" i="4"/>
  <c r="S10" i="4"/>
  <c r="R10" i="4"/>
  <c r="Q127" i="4"/>
  <c r="P127" i="4"/>
  <c r="O127" i="4"/>
  <c r="S127" i="4"/>
  <c r="R127" i="4"/>
  <c r="O81" i="4"/>
  <c r="Q81" i="4"/>
  <c r="S81" i="4"/>
  <c r="R81" i="4"/>
  <c r="P81" i="4"/>
  <c r="S182" i="4"/>
  <c r="R182" i="4"/>
  <c r="Q182" i="4"/>
  <c r="P182" i="4"/>
  <c r="O182" i="4"/>
  <c r="S192" i="4"/>
  <c r="R192" i="4"/>
  <c r="Q192" i="4"/>
  <c r="P192" i="4"/>
  <c r="O192" i="4"/>
  <c r="O265" i="4"/>
  <c r="S265" i="4"/>
  <c r="R265" i="4"/>
  <c r="Q265" i="4"/>
  <c r="P265" i="4"/>
  <c r="R266" i="4"/>
  <c r="Q266" i="4"/>
  <c r="P266" i="4"/>
  <c r="O266" i="4"/>
  <c r="S266" i="4"/>
  <c r="P76" i="4"/>
  <c r="O76" i="4"/>
  <c r="R76" i="4"/>
  <c r="S76" i="4"/>
  <c r="Q76" i="4"/>
  <c r="S277" i="4"/>
  <c r="R277" i="4"/>
  <c r="Q277" i="4"/>
  <c r="P277" i="4"/>
  <c r="O277" i="4"/>
  <c r="P39" i="4"/>
  <c r="O39" i="4"/>
  <c r="S39" i="4"/>
  <c r="R39" i="4"/>
  <c r="Q39" i="4"/>
  <c r="S126" i="4"/>
  <c r="R126" i="4"/>
  <c r="Q126" i="4"/>
  <c r="P126" i="4"/>
  <c r="O126" i="4"/>
  <c r="P7" i="4"/>
  <c r="O7" i="4"/>
  <c r="S7" i="4"/>
  <c r="R7" i="4"/>
  <c r="Q7" i="4"/>
  <c r="S144" i="4"/>
  <c r="R144" i="4"/>
  <c r="Q144" i="4"/>
  <c r="P144" i="4"/>
  <c r="O144" i="4"/>
  <c r="S14" i="4"/>
  <c r="R14" i="4"/>
  <c r="Q14" i="4"/>
  <c r="P14" i="4"/>
  <c r="O14" i="4"/>
  <c r="S262" i="4"/>
  <c r="R262" i="4"/>
  <c r="P262" i="4"/>
  <c r="O262" i="4"/>
  <c r="Q262" i="4"/>
  <c r="S32" i="4"/>
  <c r="R32" i="4"/>
  <c r="Q32" i="4"/>
  <c r="P32" i="4"/>
  <c r="O32" i="4"/>
  <c r="P47" i="4"/>
  <c r="O47" i="4"/>
  <c r="S47" i="4"/>
  <c r="R47" i="4"/>
  <c r="Q47" i="4"/>
  <c r="S62" i="4"/>
  <c r="P62" i="4"/>
  <c r="R62" i="4"/>
  <c r="Q62" i="4"/>
  <c r="O62" i="4"/>
  <c r="Q167" i="4"/>
  <c r="P167" i="4"/>
  <c r="O167" i="4"/>
  <c r="S167" i="4"/>
  <c r="R167" i="4"/>
  <c r="Q231" i="4"/>
  <c r="P231" i="4"/>
  <c r="O231" i="4"/>
  <c r="S231" i="4"/>
  <c r="R231" i="4"/>
  <c r="S168" i="4"/>
  <c r="R168" i="4"/>
  <c r="Q168" i="4"/>
  <c r="P168" i="4"/>
  <c r="O168" i="4"/>
  <c r="S232" i="4"/>
  <c r="R232" i="4"/>
  <c r="Q232" i="4"/>
  <c r="P232" i="4"/>
  <c r="O232" i="4"/>
  <c r="O113" i="4"/>
  <c r="S113" i="4"/>
  <c r="R113" i="4"/>
  <c r="Q113" i="4"/>
  <c r="P113" i="4"/>
  <c r="O177" i="4"/>
  <c r="S177" i="4"/>
  <c r="P177" i="4"/>
  <c r="R177" i="4"/>
  <c r="Q177" i="4"/>
  <c r="O241" i="4"/>
  <c r="S241" i="4"/>
  <c r="P241" i="4"/>
  <c r="R241" i="4"/>
  <c r="Q241" i="4"/>
  <c r="Q50" i="4"/>
  <c r="P50" i="4"/>
  <c r="O50" i="4"/>
  <c r="S50" i="4"/>
  <c r="R50" i="4"/>
  <c r="R114" i="4"/>
  <c r="Q114" i="4"/>
  <c r="P114" i="4"/>
  <c r="O114" i="4"/>
  <c r="S114" i="4"/>
  <c r="R178" i="4"/>
  <c r="Q178" i="4"/>
  <c r="P178" i="4"/>
  <c r="O178" i="4"/>
  <c r="S178" i="4"/>
  <c r="R242" i="4"/>
  <c r="Q242" i="4"/>
  <c r="P242" i="4"/>
  <c r="O242" i="4"/>
  <c r="S242" i="4"/>
  <c r="S59" i="4"/>
  <c r="R59" i="4"/>
  <c r="Q59" i="4"/>
  <c r="P59" i="4"/>
  <c r="O59" i="4"/>
  <c r="S123" i="4"/>
  <c r="R123" i="4"/>
  <c r="Q123" i="4"/>
  <c r="P123" i="4"/>
  <c r="O123" i="4"/>
  <c r="S187" i="4"/>
  <c r="R187" i="4"/>
  <c r="Q187" i="4"/>
  <c r="P187" i="4"/>
  <c r="O187" i="4"/>
  <c r="S251" i="4"/>
  <c r="R251" i="4"/>
  <c r="Q251" i="4"/>
  <c r="P251" i="4"/>
  <c r="O251" i="4"/>
  <c r="O52" i="4"/>
  <c r="S52" i="4"/>
  <c r="R52" i="4"/>
  <c r="Q52" i="4"/>
  <c r="P52" i="4"/>
  <c r="P116" i="4"/>
  <c r="O116" i="4"/>
  <c r="S116" i="4"/>
  <c r="R116" i="4"/>
  <c r="Q116" i="4"/>
  <c r="P180" i="4"/>
  <c r="O180" i="4"/>
  <c r="S180" i="4"/>
  <c r="R180" i="4"/>
  <c r="Q180" i="4"/>
  <c r="P244" i="4"/>
  <c r="O244" i="4"/>
  <c r="S244" i="4"/>
  <c r="R244" i="4"/>
  <c r="Q244" i="4"/>
  <c r="S61" i="4"/>
  <c r="R61" i="4"/>
  <c r="Q61" i="4"/>
  <c r="P61" i="4"/>
  <c r="O61" i="4"/>
  <c r="S125" i="4"/>
  <c r="R125" i="4"/>
  <c r="Q125" i="4"/>
  <c r="P125" i="4"/>
  <c r="O125" i="4"/>
  <c r="S189" i="4"/>
  <c r="R189" i="4"/>
  <c r="Q189" i="4"/>
  <c r="P189" i="4"/>
  <c r="O189" i="4"/>
  <c r="S253" i="4"/>
  <c r="R253" i="4"/>
  <c r="Q253" i="4"/>
  <c r="P253" i="4"/>
  <c r="O253" i="4"/>
  <c r="Q111" i="4"/>
  <c r="P111" i="4"/>
  <c r="O111" i="4"/>
  <c r="S111" i="4"/>
  <c r="R111" i="4"/>
  <c r="Q119" i="4"/>
  <c r="P119" i="4"/>
  <c r="O119" i="4"/>
  <c r="S119" i="4"/>
  <c r="R119" i="4"/>
  <c r="S256" i="4"/>
  <c r="R256" i="4"/>
  <c r="Q256" i="4"/>
  <c r="P256" i="4"/>
  <c r="O256" i="4"/>
  <c r="S222" i="4"/>
  <c r="R222" i="4"/>
  <c r="Q222" i="4"/>
  <c r="P222" i="4"/>
  <c r="O222" i="4"/>
  <c r="S25" i="4"/>
  <c r="R25" i="4"/>
  <c r="Q25" i="4"/>
  <c r="P25" i="4"/>
  <c r="O25" i="4"/>
  <c r="Q103" i="4"/>
  <c r="P103" i="4"/>
  <c r="O103" i="4"/>
  <c r="S103" i="4"/>
  <c r="R103" i="4"/>
  <c r="S120" i="4"/>
  <c r="R120" i="4"/>
  <c r="Q120" i="4"/>
  <c r="P120" i="4"/>
  <c r="O120" i="4"/>
  <c r="S6" i="4"/>
  <c r="R6" i="4"/>
  <c r="Q6" i="4"/>
  <c r="P6" i="4"/>
  <c r="O6" i="4"/>
  <c r="S198" i="4"/>
  <c r="R198" i="4"/>
  <c r="P198" i="4"/>
  <c r="O198" i="4"/>
  <c r="Q198" i="4"/>
  <c r="S22" i="4"/>
  <c r="R22" i="4"/>
  <c r="Q22" i="4"/>
  <c r="P22" i="4"/>
  <c r="O22" i="4"/>
  <c r="S254" i="4"/>
  <c r="R254" i="4"/>
  <c r="O254" i="4"/>
  <c r="Q254" i="4"/>
  <c r="P254" i="4"/>
  <c r="P31" i="4"/>
  <c r="O31" i="4"/>
  <c r="S31" i="4"/>
  <c r="R31" i="4"/>
  <c r="Q31" i="4"/>
  <c r="S46" i="4"/>
  <c r="R46" i="4"/>
  <c r="Q46" i="4"/>
  <c r="P46" i="4"/>
  <c r="O46" i="4"/>
  <c r="Q175" i="4"/>
  <c r="P175" i="4"/>
  <c r="O175" i="4"/>
  <c r="S175" i="4"/>
  <c r="R175" i="4"/>
  <c r="Q239" i="4"/>
  <c r="P239" i="4"/>
  <c r="O239" i="4"/>
  <c r="S239" i="4"/>
  <c r="R239" i="4"/>
  <c r="S176" i="4"/>
  <c r="R176" i="4"/>
  <c r="Q176" i="4"/>
  <c r="P176" i="4"/>
  <c r="O176" i="4"/>
  <c r="S240" i="4"/>
  <c r="R240" i="4"/>
  <c r="Q240" i="4"/>
  <c r="P240" i="4"/>
  <c r="O240" i="4"/>
  <c r="O121" i="4"/>
  <c r="S121" i="4"/>
  <c r="R121" i="4"/>
  <c r="Q121" i="4"/>
  <c r="P121" i="4"/>
  <c r="O185" i="4"/>
  <c r="S185" i="4"/>
  <c r="Q185" i="4"/>
  <c r="P185" i="4"/>
  <c r="R185" i="4"/>
  <c r="O249" i="4"/>
  <c r="S249" i="4"/>
  <c r="Q249" i="4"/>
  <c r="P249" i="4"/>
  <c r="R249" i="4"/>
  <c r="Q58" i="4"/>
  <c r="P58" i="4"/>
  <c r="O58" i="4"/>
  <c r="S58" i="4"/>
  <c r="R58" i="4"/>
  <c r="R122" i="4"/>
  <c r="Q122" i="4"/>
  <c r="P122" i="4"/>
  <c r="O122" i="4"/>
  <c r="S122" i="4"/>
  <c r="R186" i="4"/>
  <c r="Q186" i="4"/>
  <c r="P186" i="4"/>
  <c r="O186" i="4"/>
  <c r="S186" i="4"/>
  <c r="R250" i="4"/>
  <c r="Q250" i="4"/>
  <c r="P250" i="4"/>
  <c r="O250" i="4"/>
  <c r="S250" i="4"/>
  <c r="S67" i="4"/>
  <c r="R67" i="4"/>
  <c r="O67" i="4"/>
  <c r="Q67" i="4"/>
  <c r="P67" i="4"/>
  <c r="S131" i="4"/>
  <c r="R131" i="4"/>
  <c r="Q131" i="4"/>
  <c r="P131" i="4"/>
  <c r="O131" i="4"/>
  <c r="S195" i="4"/>
  <c r="R195" i="4"/>
  <c r="Q195" i="4"/>
  <c r="P195" i="4"/>
  <c r="O195" i="4"/>
  <c r="S259" i="4"/>
  <c r="R259" i="4"/>
  <c r="Q259" i="4"/>
  <c r="P259" i="4"/>
  <c r="O259" i="4"/>
  <c r="P60" i="4"/>
  <c r="O60" i="4"/>
  <c r="R60" i="4"/>
  <c r="S60" i="4"/>
  <c r="Q60" i="4"/>
  <c r="P124" i="4"/>
  <c r="O124" i="4"/>
  <c r="S124" i="4"/>
  <c r="R124" i="4"/>
  <c r="Q124" i="4"/>
  <c r="P188" i="4"/>
  <c r="O188" i="4"/>
  <c r="S188" i="4"/>
  <c r="R188" i="4"/>
  <c r="Q188" i="4"/>
  <c r="P252" i="4"/>
  <c r="O252" i="4"/>
  <c r="S252" i="4"/>
  <c r="R252" i="4"/>
  <c r="Q252" i="4"/>
  <c r="S69" i="4"/>
  <c r="R69" i="4"/>
  <c r="Q69" i="4"/>
  <c r="P69" i="4"/>
  <c r="O69" i="4"/>
  <c r="S133" i="4"/>
  <c r="R133" i="4"/>
  <c r="Q133" i="4"/>
  <c r="P133" i="4"/>
  <c r="O133" i="4"/>
  <c r="S197" i="4"/>
  <c r="R197" i="4"/>
  <c r="Q197" i="4"/>
  <c r="P197" i="4"/>
  <c r="O197" i="4"/>
  <c r="S261" i="4"/>
  <c r="R261" i="4"/>
  <c r="Q261" i="4"/>
  <c r="P261" i="4"/>
  <c r="O261" i="4"/>
  <c r="O89" i="4"/>
  <c r="Q89" i="4"/>
  <c r="S89" i="4"/>
  <c r="R89" i="4"/>
  <c r="P89" i="4"/>
  <c r="S136" i="4"/>
  <c r="R136" i="4"/>
  <c r="Q136" i="4"/>
  <c r="P136" i="4"/>
  <c r="O136" i="4"/>
  <c r="Q191" i="4"/>
  <c r="P191" i="4"/>
  <c r="O191" i="4"/>
  <c r="S191" i="4"/>
  <c r="R191" i="4"/>
  <c r="O201" i="4"/>
  <c r="S201" i="4"/>
  <c r="R201" i="4"/>
  <c r="Q201" i="4"/>
  <c r="P201" i="4"/>
  <c r="R202" i="4"/>
  <c r="Q202" i="4"/>
  <c r="P202" i="4"/>
  <c r="O202" i="4"/>
  <c r="S202" i="4"/>
  <c r="S211" i="4"/>
  <c r="R211" i="4"/>
  <c r="Q211" i="4"/>
  <c r="O211" i="4"/>
  <c r="P211" i="4"/>
  <c r="P204" i="4"/>
  <c r="O204" i="4"/>
  <c r="S204" i="4"/>
  <c r="R204" i="4"/>
  <c r="Q204" i="4"/>
  <c r="S57" i="4"/>
  <c r="R57" i="4"/>
  <c r="Q57" i="4"/>
  <c r="P57" i="4"/>
  <c r="O57" i="4"/>
  <c r="S158" i="4"/>
  <c r="R158" i="4"/>
  <c r="Q158" i="4"/>
  <c r="P158" i="4"/>
  <c r="O158" i="4"/>
  <c r="S16" i="4"/>
  <c r="R16" i="4"/>
  <c r="Q16" i="4"/>
  <c r="P16" i="4"/>
  <c r="O16" i="4"/>
  <c r="S86" i="4"/>
  <c r="P86" i="4"/>
  <c r="R86" i="4"/>
  <c r="Q86" i="4"/>
  <c r="O86" i="4"/>
  <c r="S102" i="4"/>
  <c r="P102" i="4"/>
  <c r="R102" i="4"/>
  <c r="Q102" i="4"/>
  <c r="O102" i="4"/>
  <c r="S142" i="4"/>
  <c r="R142" i="4"/>
  <c r="Q142" i="4"/>
  <c r="P142" i="4"/>
  <c r="O142" i="4"/>
  <c r="R13" i="4"/>
  <c r="Q13" i="4"/>
  <c r="P13" i="4"/>
  <c r="O13" i="4"/>
  <c r="S13" i="4"/>
  <c r="S190" i="4"/>
  <c r="R190" i="4"/>
  <c r="O190" i="4"/>
  <c r="Q190" i="4"/>
  <c r="P190" i="4"/>
  <c r="R21" i="4"/>
  <c r="Q21" i="4"/>
  <c r="P21" i="4"/>
  <c r="O21" i="4"/>
  <c r="S21" i="4"/>
  <c r="S246" i="4"/>
  <c r="R246" i="4"/>
  <c r="Q246" i="4"/>
  <c r="P246" i="4"/>
  <c r="O246" i="4"/>
  <c r="S30" i="4"/>
  <c r="R30" i="4"/>
  <c r="Q30" i="4"/>
  <c r="P30" i="4"/>
  <c r="O30" i="4"/>
  <c r="Q183" i="4"/>
  <c r="P183" i="4"/>
  <c r="O183" i="4"/>
  <c r="S183" i="4"/>
  <c r="R183" i="4"/>
  <c r="Q247" i="4"/>
  <c r="P247" i="4"/>
  <c r="O247" i="4"/>
  <c r="S247" i="4"/>
  <c r="R247" i="4"/>
  <c r="S184" i="4"/>
  <c r="R184" i="4"/>
  <c r="Q184" i="4"/>
  <c r="P184" i="4"/>
  <c r="O184" i="4"/>
  <c r="S248" i="4"/>
  <c r="R248" i="4"/>
  <c r="Q248" i="4"/>
  <c r="P248" i="4"/>
  <c r="O248" i="4"/>
  <c r="O129" i="4"/>
  <c r="S129" i="4"/>
  <c r="R129" i="4"/>
  <c r="Q129" i="4"/>
  <c r="P129" i="4"/>
  <c r="O193" i="4"/>
  <c r="S193" i="4"/>
  <c r="R193" i="4"/>
  <c r="Q193" i="4"/>
  <c r="P193" i="4"/>
  <c r="O257" i="4"/>
  <c r="S257" i="4"/>
  <c r="R257" i="4"/>
  <c r="Q257" i="4"/>
  <c r="P257" i="4"/>
  <c r="R66" i="4"/>
  <c r="Q66" i="4"/>
  <c r="P66" i="4"/>
  <c r="O66" i="4"/>
  <c r="S66" i="4"/>
  <c r="R130" i="4"/>
  <c r="Q130" i="4"/>
  <c r="P130" i="4"/>
  <c r="O130" i="4"/>
  <c r="S130" i="4"/>
  <c r="R194" i="4"/>
  <c r="Q194" i="4"/>
  <c r="P194" i="4"/>
  <c r="O194" i="4"/>
  <c r="S194" i="4"/>
  <c r="R258" i="4"/>
  <c r="Q258" i="4"/>
  <c r="P258" i="4"/>
  <c r="O258" i="4"/>
  <c r="S258" i="4"/>
  <c r="S75" i="4"/>
  <c r="R75" i="4"/>
  <c r="O75" i="4"/>
  <c r="Q75" i="4"/>
  <c r="P75" i="4"/>
  <c r="S139" i="4"/>
  <c r="R139" i="4"/>
  <c r="Q139" i="4"/>
  <c r="P139" i="4"/>
  <c r="O139" i="4"/>
  <c r="S203" i="4"/>
  <c r="R203" i="4"/>
  <c r="Q203" i="4"/>
  <c r="P203" i="4"/>
  <c r="O203" i="4"/>
  <c r="S267" i="4"/>
  <c r="R267" i="4"/>
  <c r="Q267" i="4"/>
  <c r="P267" i="4"/>
  <c r="O267" i="4"/>
  <c r="P68" i="4"/>
  <c r="O68" i="4"/>
  <c r="R68" i="4"/>
  <c r="S68" i="4"/>
  <c r="Q68" i="4"/>
  <c r="P132" i="4"/>
  <c r="O132" i="4"/>
  <c r="S132" i="4"/>
  <c r="R132" i="4"/>
  <c r="Q132" i="4"/>
  <c r="P196" i="4"/>
  <c r="O196" i="4"/>
  <c r="S196" i="4"/>
  <c r="R196" i="4"/>
  <c r="Q196" i="4"/>
  <c r="P260" i="4"/>
  <c r="O260" i="4"/>
  <c r="S260" i="4"/>
  <c r="R260" i="4"/>
  <c r="Q260" i="4"/>
  <c r="S77" i="4"/>
  <c r="R77" i="4"/>
  <c r="Q77" i="4"/>
  <c r="P77" i="4"/>
  <c r="O77" i="4"/>
  <c r="S141" i="4"/>
  <c r="R141" i="4"/>
  <c r="Q141" i="4"/>
  <c r="P141" i="4"/>
  <c r="O141" i="4"/>
  <c r="S205" i="4"/>
  <c r="R205" i="4"/>
  <c r="Q205" i="4"/>
  <c r="P205" i="4"/>
  <c r="O205" i="4"/>
  <c r="S269" i="4"/>
  <c r="R269" i="4"/>
  <c r="Q269" i="4"/>
  <c r="P269" i="4"/>
  <c r="O269" i="4"/>
  <c r="O73" i="4"/>
  <c r="Q73" i="4"/>
  <c r="S73" i="4"/>
  <c r="R73" i="4"/>
  <c r="P73" i="4"/>
  <c r="O60" i="2"/>
  <c r="O195" i="2"/>
  <c r="S195" i="2"/>
  <c r="W215" i="2"/>
  <c r="AA215" i="2"/>
  <c r="AA216" i="2"/>
  <c r="F9" i="5"/>
  <c r="Y215" i="2"/>
  <c r="Z215" i="2"/>
  <c r="O68" i="2"/>
  <c r="O12" i="2"/>
  <c r="X215" i="2"/>
  <c r="S12" i="2"/>
  <c r="Q115" i="2"/>
  <c r="P12" i="2"/>
  <c r="Q131" i="2"/>
  <c r="O83" i="2"/>
  <c r="R83" i="2"/>
  <c r="S83" i="2"/>
  <c r="R179" i="2"/>
  <c r="Q163" i="2"/>
  <c r="Q52" i="2"/>
  <c r="Q211" i="2"/>
  <c r="P179" i="2"/>
  <c r="P131" i="2"/>
  <c r="P147" i="2"/>
  <c r="S52" i="2"/>
  <c r="S131" i="2"/>
  <c r="S211" i="2"/>
  <c r="Q179" i="2"/>
  <c r="Q147" i="2"/>
  <c r="P52" i="2"/>
  <c r="O20" i="2"/>
  <c r="R52" i="2"/>
  <c r="S147" i="2"/>
  <c r="R147" i="2"/>
  <c r="P83" i="2"/>
  <c r="O211" i="2"/>
  <c r="R131" i="2"/>
  <c r="O179" i="2"/>
  <c r="R211" i="2"/>
  <c r="O115" i="2"/>
  <c r="S36" i="2"/>
  <c r="Q36" i="2"/>
  <c r="Q44" i="2"/>
  <c r="R44" i="2"/>
  <c r="Q99" i="2"/>
  <c r="O44" i="2"/>
  <c r="R4" i="2"/>
  <c r="S44" i="2"/>
  <c r="Q4" i="2"/>
  <c r="O4" i="2"/>
  <c r="O99" i="2"/>
  <c r="S4" i="2"/>
  <c r="R99" i="2"/>
  <c r="O36" i="2"/>
  <c r="S99" i="2"/>
  <c r="R115" i="2"/>
  <c r="S20" i="2"/>
  <c r="S68" i="2"/>
  <c r="S115" i="2"/>
  <c r="Q68" i="2"/>
  <c r="O163" i="2"/>
  <c r="P36" i="2"/>
  <c r="P20" i="2"/>
  <c r="P68" i="2"/>
  <c r="Q20" i="2"/>
  <c r="R163" i="2"/>
  <c r="P163" i="2"/>
  <c r="Q175" i="2"/>
  <c r="P175" i="2"/>
  <c r="O175" i="2"/>
  <c r="S175" i="2"/>
  <c r="R175" i="2"/>
  <c r="P84" i="2"/>
  <c r="S84" i="2"/>
  <c r="O84" i="2"/>
  <c r="R84" i="2"/>
  <c r="Q84" i="2"/>
  <c r="P180" i="2"/>
  <c r="S180" i="2"/>
  <c r="O180" i="2"/>
  <c r="R180" i="2"/>
  <c r="Q180" i="2"/>
  <c r="R128" i="2"/>
  <c r="Q128" i="2"/>
  <c r="P128" i="2"/>
  <c r="O128" i="2"/>
  <c r="S128" i="2"/>
  <c r="S13" i="2"/>
  <c r="O13" i="2"/>
  <c r="R13" i="2"/>
  <c r="Q13" i="2"/>
  <c r="P13" i="2"/>
  <c r="S61" i="2"/>
  <c r="O61" i="2"/>
  <c r="R61" i="2"/>
  <c r="Q61" i="2"/>
  <c r="P61" i="2"/>
  <c r="S109" i="2"/>
  <c r="O109" i="2"/>
  <c r="R109" i="2"/>
  <c r="Q109" i="2"/>
  <c r="P109" i="2"/>
  <c r="S157" i="2"/>
  <c r="O157" i="2"/>
  <c r="R157" i="2"/>
  <c r="Q157" i="2"/>
  <c r="P157" i="2"/>
  <c r="R6" i="2"/>
  <c r="Q6" i="2"/>
  <c r="P6" i="2"/>
  <c r="S6" i="2"/>
  <c r="O6" i="2"/>
  <c r="R54" i="2"/>
  <c r="Q54" i="2"/>
  <c r="S54" i="2"/>
  <c r="P54" i="2"/>
  <c r="O54" i="2"/>
  <c r="R102" i="2"/>
  <c r="Q102" i="2"/>
  <c r="S102" i="2"/>
  <c r="P102" i="2"/>
  <c r="O102" i="2"/>
  <c r="R150" i="2"/>
  <c r="Q150" i="2"/>
  <c r="S150" i="2"/>
  <c r="P150" i="2"/>
  <c r="O150" i="2"/>
  <c r="R182" i="2"/>
  <c r="Q182" i="2"/>
  <c r="S182" i="2"/>
  <c r="P182" i="2"/>
  <c r="O182" i="2"/>
  <c r="Q91" i="2"/>
  <c r="P91" i="2"/>
  <c r="S91" i="2"/>
  <c r="R91" i="2"/>
  <c r="O91" i="2"/>
  <c r="Q151" i="2"/>
  <c r="P151" i="2"/>
  <c r="O151" i="2"/>
  <c r="S151" i="2"/>
  <c r="R151" i="2"/>
  <c r="Q47" i="2"/>
  <c r="P47" i="2"/>
  <c r="O47" i="2"/>
  <c r="S47" i="2"/>
  <c r="R47" i="2"/>
  <c r="Q159" i="2"/>
  <c r="P159" i="2"/>
  <c r="O159" i="2"/>
  <c r="S159" i="2"/>
  <c r="R159" i="2"/>
  <c r="Q95" i="2"/>
  <c r="P95" i="2"/>
  <c r="O95" i="2"/>
  <c r="S95" i="2"/>
  <c r="R95" i="2"/>
  <c r="Q51" i="2"/>
  <c r="P51" i="2"/>
  <c r="S51" i="2"/>
  <c r="R51" i="2"/>
  <c r="O51" i="2"/>
  <c r="Q19" i="2"/>
  <c r="P19" i="2"/>
  <c r="S19" i="2"/>
  <c r="R19" i="2"/>
  <c r="O19" i="2"/>
  <c r="P92" i="2"/>
  <c r="S92" i="2"/>
  <c r="O92" i="2"/>
  <c r="R92" i="2"/>
  <c r="Q92" i="2"/>
  <c r="R124" i="2"/>
  <c r="Q124" i="2"/>
  <c r="S124" i="2"/>
  <c r="P124" i="2"/>
  <c r="O124" i="2"/>
  <c r="P160" i="2"/>
  <c r="S160" i="2"/>
  <c r="O160" i="2"/>
  <c r="R160" i="2"/>
  <c r="Q160" i="2"/>
  <c r="P188" i="2"/>
  <c r="S188" i="2"/>
  <c r="O188" i="2"/>
  <c r="R188" i="2"/>
  <c r="Q188" i="2"/>
  <c r="P72" i="2"/>
  <c r="S72" i="2"/>
  <c r="O72" i="2"/>
  <c r="R72" i="2"/>
  <c r="Q72" i="2"/>
  <c r="P104" i="2"/>
  <c r="S104" i="2"/>
  <c r="O104" i="2"/>
  <c r="R104" i="2"/>
  <c r="Q104" i="2"/>
  <c r="R136" i="2"/>
  <c r="Q136" i="2"/>
  <c r="P136" i="2"/>
  <c r="O136" i="2"/>
  <c r="S136" i="2"/>
  <c r="P172" i="2"/>
  <c r="S172" i="2"/>
  <c r="O172" i="2"/>
  <c r="R172" i="2"/>
  <c r="Q172" i="2"/>
  <c r="P212" i="2"/>
  <c r="S212" i="2"/>
  <c r="O212" i="2"/>
  <c r="R212" i="2"/>
  <c r="Q212" i="2"/>
  <c r="S17" i="2"/>
  <c r="O17" i="2"/>
  <c r="R17" i="2"/>
  <c r="Q17" i="2"/>
  <c r="P17" i="2"/>
  <c r="S33" i="2"/>
  <c r="O33" i="2"/>
  <c r="R33" i="2"/>
  <c r="Q33" i="2"/>
  <c r="P33" i="2"/>
  <c r="S49" i="2"/>
  <c r="O49" i="2"/>
  <c r="R49" i="2"/>
  <c r="Q49" i="2"/>
  <c r="P49" i="2"/>
  <c r="S65" i="2"/>
  <c r="O65" i="2"/>
  <c r="R65" i="2"/>
  <c r="Q65" i="2"/>
  <c r="P65" i="2"/>
  <c r="S81" i="2"/>
  <c r="O81" i="2"/>
  <c r="R81" i="2"/>
  <c r="Q81" i="2"/>
  <c r="P81" i="2"/>
  <c r="S97" i="2"/>
  <c r="O97" i="2"/>
  <c r="R97" i="2"/>
  <c r="Q97" i="2"/>
  <c r="P97" i="2"/>
  <c r="S113" i="2"/>
  <c r="O113" i="2"/>
  <c r="R113" i="2"/>
  <c r="Q113" i="2"/>
  <c r="P113" i="2"/>
  <c r="Q129" i="2"/>
  <c r="P129" i="2"/>
  <c r="S129" i="2"/>
  <c r="R129" i="2"/>
  <c r="O129" i="2"/>
  <c r="Q145" i="2"/>
  <c r="P145" i="2"/>
  <c r="S145" i="2"/>
  <c r="R145" i="2"/>
  <c r="O145" i="2"/>
  <c r="S161" i="2"/>
  <c r="O161" i="2"/>
  <c r="R161" i="2"/>
  <c r="Q161" i="2"/>
  <c r="P161" i="2"/>
  <c r="S177" i="2"/>
  <c r="O177" i="2"/>
  <c r="R177" i="2"/>
  <c r="Q177" i="2"/>
  <c r="P177" i="2"/>
  <c r="S193" i="2"/>
  <c r="O193" i="2"/>
  <c r="R193" i="2"/>
  <c r="Q193" i="2"/>
  <c r="P193" i="2"/>
  <c r="S209" i="2"/>
  <c r="O209" i="2"/>
  <c r="R209" i="2"/>
  <c r="Q209" i="2"/>
  <c r="P209" i="2"/>
  <c r="R10" i="2"/>
  <c r="Q10" i="2"/>
  <c r="P10" i="2"/>
  <c r="S10" i="2"/>
  <c r="O10" i="2"/>
  <c r="R26" i="2"/>
  <c r="Q26" i="2"/>
  <c r="P26" i="2"/>
  <c r="O26" i="2"/>
  <c r="S26" i="2"/>
  <c r="R42" i="2"/>
  <c r="Q42" i="2"/>
  <c r="P42" i="2"/>
  <c r="O42" i="2"/>
  <c r="S42" i="2"/>
  <c r="R58" i="2"/>
  <c r="Q58" i="2"/>
  <c r="P58" i="2"/>
  <c r="O58" i="2"/>
  <c r="S58" i="2"/>
  <c r="R74" i="2"/>
  <c r="Q74" i="2"/>
  <c r="P74" i="2"/>
  <c r="O74" i="2"/>
  <c r="S74" i="2"/>
  <c r="R90" i="2"/>
  <c r="Q90" i="2"/>
  <c r="P90" i="2"/>
  <c r="O90" i="2"/>
  <c r="S90" i="2"/>
  <c r="R106" i="2"/>
  <c r="Q106" i="2"/>
  <c r="P106" i="2"/>
  <c r="O106" i="2"/>
  <c r="S106" i="2"/>
  <c r="P122" i="2"/>
  <c r="S122" i="2"/>
  <c r="O122" i="2"/>
  <c r="R122" i="2"/>
  <c r="Q122" i="2"/>
  <c r="P138" i="2"/>
  <c r="S138" i="2"/>
  <c r="O138" i="2"/>
  <c r="R138" i="2"/>
  <c r="Q138" i="2"/>
  <c r="R154" i="2"/>
  <c r="Q154" i="2"/>
  <c r="P154" i="2"/>
  <c r="O154" i="2"/>
  <c r="S154" i="2"/>
  <c r="R170" i="2"/>
  <c r="Q170" i="2"/>
  <c r="P170" i="2"/>
  <c r="O170" i="2"/>
  <c r="S170" i="2"/>
  <c r="R186" i="2"/>
  <c r="Q186" i="2"/>
  <c r="P186" i="2"/>
  <c r="O186" i="2"/>
  <c r="S186" i="2"/>
  <c r="R202" i="2"/>
  <c r="Q202" i="2"/>
  <c r="P202" i="2"/>
  <c r="O202" i="2"/>
  <c r="S202" i="2"/>
  <c r="S139" i="2"/>
  <c r="O139" i="2"/>
  <c r="R139" i="2"/>
  <c r="Q139" i="2"/>
  <c r="P139" i="2"/>
  <c r="Q75" i="2"/>
  <c r="P75" i="2"/>
  <c r="S75" i="2"/>
  <c r="R75" i="2"/>
  <c r="O75" i="2"/>
  <c r="P40" i="2"/>
  <c r="S40" i="2"/>
  <c r="O40" i="2"/>
  <c r="R40" i="2"/>
  <c r="Q40" i="2"/>
  <c r="P8" i="2"/>
  <c r="S8" i="2"/>
  <c r="O8" i="2"/>
  <c r="R8" i="2"/>
  <c r="Q8" i="2"/>
  <c r="Q199" i="2"/>
  <c r="P199" i="2"/>
  <c r="O199" i="2"/>
  <c r="S199" i="2"/>
  <c r="R199" i="2"/>
  <c r="S135" i="2"/>
  <c r="O135" i="2"/>
  <c r="R135" i="2"/>
  <c r="Q135" i="2"/>
  <c r="P135" i="2"/>
  <c r="Q71" i="2"/>
  <c r="P71" i="2"/>
  <c r="O71" i="2"/>
  <c r="S71" i="2"/>
  <c r="R71" i="2"/>
  <c r="Q39" i="2"/>
  <c r="P39" i="2"/>
  <c r="O39" i="2"/>
  <c r="S39" i="2"/>
  <c r="R39" i="2"/>
  <c r="Q7" i="2"/>
  <c r="P7" i="2"/>
  <c r="S7" i="2"/>
  <c r="O7" i="2"/>
  <c r="R7" i="2"/>
  <c r="Q59" i="2"/>
  <c r="P59" i="2"/>
  <c r="S59" i="2"/>
  <c r="R59" i="2"/>
  <c r="O59" i="2"/>
  <c r="P116" i="2"/>
  <c r="S116" i="2"/>
  <c r="O116" i="2"/>
  <c r="R116" i="2"/>
  <c r="Q116" i="2"/>
  <c r="P100" i="2"/>
  <c r="S100" i="2"/>
  <c r="O100" i="2"/>
  <c r="R100" i="2"/>
  <c r="Q100" i="2"/>
  <c r="P200" i="2"/>
  <c r="S200" i="2"/>
  <c r="O200" i="2"/>
  <c r="R200" i="2"/>
  <c r="Q200" i="2"/>
  <c r="S45" i="2"/>
  <c r="O45" i="2"/>
  <c r="R45" i="2"/>
  <c r="Q45" i="2"/>
  <c r="P45" i="2"/>
  <c r="S93" i="2"/>
  <c r="O93" i="2"/>
  <c r="R93" i="2"/>
  <c r="Q93" i="2"/>
  <c r="P93" i="2"/>
  <c r="Q141" i="2"/>
  <c r="P141" i="2"/>
  <c r="O141" i="2"/>
  <c r="S141" i="2"/>
  <c r="R141" i="2"/>
  <c r="S189" i="2"/>
  <c r="O189" i="2"/>
  <c r="R189" i="2"/>
  <c r="Q189" i="2"/>
  <c r="P189" i="2"/>
  <c r="R38" i="2"/>
  <c r="Q38" i="2"/>
  <c r="S38" i="2"/>
  <c r="P38" i="2"/>
  <c r="O38" i="2"/>
  <c r="R86" i="2"/>
  <c r="Q86" i="2"/>
  <c r="S86" i="2"/>
  <c r="P86" i="2"/>
  <c r="O86" i="2"/>
  <c r="P134" i="2"/>
  <c r="S134" i="2"/>
  <c r="O134" i="2"/>
  <c r="R134" i="2"/>
  <c r="Q134" i="2"/>
  <c r="R198" i="2"/>
  <c r="Q198" i="2"/>
  <c r="S198" i="2"/>
  <c r="P198" i="2"/>
  <c r="O198" i="2"/>
  <c r="P16" i="2"/>
  <c r="S16" i="2"/>
  <c r="O16" i="2"/>
  <c r="R16" i="2"/>
  <c r="Q16" i="2"/>
  <c r="S143" i="2"/>
  <c r="O143" i="2"/>
  <c r="R143" i="2"/>
  <c r="Q143" i="2"/>
  <c r="P143" i="2"/>
  <c r="Q11" i="2"/>
  <c r="P11" i="2"/>
  <c r="O11" i="2"/>
  <c r="S11" i="2"/>
  <c r="R11" i="2"/>
  <c r="R132" i="2"/>
  <c r="Q132" i="2"/>
  <c r="S132" i="2"/>
  <c r="P132" i="2"/>
  <c r="O132" i="2"/>
  <c r="P80" i="2"/>
  <c r="S80" i="2"/>
  <c r="O80" i="2"/>
  <c r="R80" i="2"/>
  <c r="Q80" i="2"/>
  <c r="P184" i="2"/>
  <c r="S184" i="2"/>
  <c r="O184" i="2"/>
  <c r="R184" i="2"/>
  <c r="Q184" i="2"/>
  <c r="S21" i="2"/>
  <c r="O21" i="2"/>
  <c r="R21" i="2"/>
  <c r="Q21" i="2"/>
  <c r="P21" i="2"/>
  <c r="S37" i="2"/>
  <c r="O37" i="2"/>
  <c r="R37" i="2"/>
  <c r="Q37" i="2"/>
  <c r="P37" i="2"/>
  <c r="S69" i="2"/>
  <c r="O69" i="2"/>
  <c r="R69" i="2"/>
  <c r="Q69" i="2"/>
  <c r="P69" i="2"/>
  <c r="S85" i="2"/>
  <c r="O85" i="2"/>
  <c r="R85" i="2"/>
  <c r="Q85" i="2"/>
  <c r="P85" i="2"/>
  <c r="S101" i="2"/>
  <c r="O101" i="2"/>
  <c r="R101" i="2"/>
  <c r="Q101" i="2"/>
  <c r="P101" i="2"/>
  <c r="Q117" i="2"/>
  <c r="P117" i="2"/>
  <c r="O117" i="2"/>
  <c r="S117" i="2"/>
  <c r="R117" i="2"/>
  <c r="Q133" i="2"/>
  <c r="P133" i="2"/>
  <c r="O133" i="2"/>
  <c r="S133" i="2"/>
  <c r="R133" i="2"/>
  <c r="S149" i="2"/>
  <c r="R149" i="2"/>
  <c r="Q149" i="2"/>
  <c r="P149" i="2"/>
  <c r="O149" i="2"/>
  <c r="S165" i="2"/>
  <c r="O165" i="2"/>
  <c r="R165" i="2"/>
  <c r="Q165" i="2"/>
  <c r="P165" i="2"/>
  <c r="S181" i="2"/>
  <c r="O181" i="2"/>
  <c r="R181" i="2"/>
  <c r="Q181" i="2"/>
  <c r="P181" i="2"/>
  <c r="S197" i="2"/>
  <c r="O197" i="2"/>
  <c r="R197" i="2"/>
  <c r="Q197" i="2"/>
  <c r="P197" i="2"/>
  <c r="S213" i="2"/>
  <c r="O213" i="2"/>
  <c r="R213" i="2"/>
  <c r="Q213" i="2"/>
  <c r="P213" i="2"/>
  <c r="R14" i="2"/>
  <c r="Q14" i="2"/>
  <c r="S14" i="2"/>
  <c r="P14" i="2"/>
  <c r="O14" i="2"/>
  <c r="R30" i="2"/>
  <c r="Q30" i="2"/>
  <c r="S30" i="2"/>
  <c r="P30" i="2"/>
  <c r="O30" i="2"/>
  <c r="R46" i="2"/>
  <c r="Q46" i="2"/>
  <c r="S46" i="2"/>
  <c r="P46" i="2"/>
  <c r="O46" i="2"/>
  <c r="R62" i="2"/>
  <c r="Q62" i="2"/>
  <c r="S62" i="2"/>
  <c r="P62" i="2"/>
  <c r="O62" i="2"/>
  <c r="R78" i="2"/>
  <c r="Q78" i="2"/>
  <c r="S78" i="2"/>
  <c r="P78" i="2"/>
  <c r="O78" i="2"/>
  <c r="R94" i="2"/>
  <c r="Q94" i="2"/>
  <c r="S94" i="2"/>
  <c r="P94" i="2"/>
  <c r="O94" i="2"/>
  <c r="R110" i="2"/>
  <c r="Q110" i="2"/>
  <c r="S110" i="2"/>
  <c r="P110" i="2"/>
  <c r="O110" i="2"/>
  <c r="P126" i="2"/>
  <c r="S126" i="2"/>
  <c r="O126" i="2"/>
  <c r="R126" i="2"/>
  <c r="Q126" i="2"/>
  <c r="P142" i="2"/>
  <c r="S142" i="2"/>
  <c r="O142" i="2"/>
  <c r="R142" i="2"/>
  <c r="Q142" i="2"/>
  <c r="R158" i="2"/>
  <c r="Q158" i="2"/>
  <c r="S158" i="2"/>
  <c r="P158" i="2"/>
  <c r="O158" i="2"/>
  <c r="R174" i="2"/>
  <c r="Q174" i="2"/>
  <c r="S174" i="2"/>
  <c r="P174" i="2"/>
  <c r="O174" i="2"/>
  <c r="R190" i="2"/>
  <c r="Q190" i="2"/>
  <c r="S190" i="2"/>
  <c r="P190" i="2"/>
  <c r="O190" i="2"/>
  <c r="R206" i="2"/>
  <c r="Q206" i="2"/>
  <c r="S206" i="2"/>
  <c r="P206" i="2"/>
  <c r="O206" i="2"/>
  <c r="Q187" i="2"/>
  <c r="P187" i="2"/>
  <c r="S187" i="2"/>
  <c r="R187" i="2"/>
  <c r="O187" i="2"/>
  <c r="S123" i="2"/>
  <c r="O123" i="2"/>
  <c r="R123" i="2"/>
  <c r="Q123" i="2"/>
  <c r="P123" i="2"/>
  <c r="P64" i="2"/>
  <c r="S64" i="2"/>
  <c r="O64" i="2"/>
  <c r="R64" i="2"/>
  <c r="Q64" i="2"/>
  <c r="P32" i="2"/>
  <c r="S32" i="2"/>
  <c r="O32" i="2"/>
  <c r="R32" i="2"/>
  <c r="Q32" i="2"/>
  <c r="Q183" i="2"/>
  <c r="P183" i="2"/>
  <c r="O183" i="2"/>
  <c r="S183" i="2"/>
  <c r="R183" i="2"/>
  <c r="S119" i="2"/>
  <c r="O119" i="2"/>
  <c r="R119" i="2"/>
  <c r="Q119" i="2"/>
  <c r="P119" i="2"/>
  <c r="Q63" i="2"/>
  <c r="P63" i="2"/>
  <c r="O63" i="2"/>
  <c r="S63" i="2"/>
  <c r="R63" i="2"/>
  <c r="Q31" i="2"/>
  <c r="P31" i="2"/>
  <c r="O31" i="2"/>
  <c r="S31" i="2"/>
  <c r="R31" i="2"/>
  <c r="Q111" i="2"/>
  <c r="P111" i="2"/>
  <c r="O111" i="2"/>
  <c r="S111" i="2"/>
  <c r="R111" i="2"/>
  <c r="Q27" i="2"/>
  <c r="P27" i="2"/>
  <c r="S27" i="2"/>
  <c r="R27" i="2"/>
  <c r="O27" i="2"/>
  <c r="P152" i="2"/>
  <c r="S152" i="2"/>
  <c r="O152" i="2"/>
  <c r="R152" i="2"/>
  <c r="Q152" i="2"/>
  <c r="P208" i="2"/>
  <c r="S208" i="2"/>
  <c r="O208" i="2"/>
  <c r="R208" i="2"/>
  <c r="Q208" i="2"/>
  <c r="P164" i="2"/>
  <c r="S164" i="2"/>
  <c r="O164" i="2"/>
  <c r="R164" i="2"/>
  <c r="Q164" i="2"/>
  <c r="S29" i="2"/>
  <c r="O29" i="2"/>
  <c r="R29" i="2"/>
  <c r="Q29" i="2"/>
  <c r="P29" i="2"/>
  <c r="S77" i="2"/>
  <c r="O77" i="2"/>
  <c r="R77" i="2"/>
  <c r="Q77" i="2"/>
  <c r="P77" i="2"/>
  <c r="Q125" i="2"/>
  <c r="P125" i="2"/>
  <c r="O125" i="2"/>
  <c r="S125" i="2"/>
  <c r="R125" i="2"/>
  <c r="S173" i="2"/>
  <c r="O173" i="2"/>
  <c r="R173" i="2"/>
  <c r="Q173" i="2"/>
  <c r="P173" i="2"/>
  <c r="S205" i="2"/>
  <c r="O205" i="2"/>
  <c r="R205" i="2"/>
  <c r="Q205" i="2"/>
  <c r="P205" i="2"/>
  <c r="R22" i="2"/>
  <c r="Q22" i="2"/>
  <c r="S22" i="2"/>
  <c r="P22" i="2"/>
  <c r="O22" i="2"/>
  <c r="R70" i="2"/>
  <c r="Q70" i="2"/>
  <c r="S70" i="2"/>
  <c r="P70" i="2"/>
  <c r="O70" i="2"/>
  <c r="P118" i="2"/>
  <c r="S118" i="2"/>
  <c r="O118" i="2"/>
  <c r="R118" i="2"/>
  <c r="Q118" i="2"/>
  <c r="R166" i="2"/>
  <c r="Q166" i="2"/>
  <c r="S166" i="2"/>
  <c r="P166" i="2"/>
  <c r="O166" i="2"/>
  <c r="R214" i="2"/>
  <c r="Q214" i="2"/>
  <c r="S214" i="2"/>
  <c r="P214" i="2"/>
  <c r="O214" i="2"/>
  <c r="Q155" i="2"/>
  <c r="P155" i="2"/>
  <c r="S155" i="2"/>
  <c r="R155" i="2"/>
  <c r="O155" i="2"/>
  <c r="P48" i="2"/>
  <c r="S48" i="2"/>
  <c r="O48" i="2"/>
  <c r="R48" i="2"/>
  <c r="Q48" i="2"/>
  <c r="Q87" i="2"/>
  <c r="P87" i="2"/>
  <c r="O87" i="2"/>
  <c r="S87" i="2"/>
  <c r="R87" i="2"/>
  <c r="Q15" i="2"/>
  <c r="P15" i="2"/>
  <c r="O15" i="2"/>
  <c r="S15" i="2"/>
  <c r="R15" i="2"/>
  <c r="Q207" i="2"/>
  <c r="P207" i="2"/>
  <c r="O207" i="2"/>
  <c r="S207" i="2"/>
  <c r="R207" i="2"/>
  <c r="Q79" i="2"/>
  <c r="P79" i="2"/>
  <c r="O79" i="2"/>
  <c r="S79" i="2"/>
  <c r="R79" i="2"/>
  <c r="Q43" i="2"/>
  <c r="P43" i="2"/>
  <c r="S43" i="2"/>
  <c r="R43" i="2"/>
  <c r="O43" i="2"/>
  <c r="P96" i="2"/>
  <c r="S96" i="2"/>
  <c r="O96" i="2"/>
  <c r="R96" i="2"/>
  <c r="Q96" i="2"/>
  <c r="P168" i="2"/>
  <c r="S168" i="2"/>
  <c r="O168" i="2"/>
  <c r="R168" i="2"/>
  <c r="Q168" i="2"/>
  <c r="P196" i="2"/>
  <c r="S196" i="2"/>
  <c r="O196" i="2"/>
  <c r="R196" i="2"/>
  <c r="Q196" i="2"/>
  <c r="P112" i="2"/>
  <c r="S112" i="2"/>
  <c r="O112" i="2"/>
  <c r="R112" i="2"/>
  <c r="Q112" i="2"/>
  <c r="R144" i="2"/>
  <c r="Q144" i="2"/>
  <c r="P144" i="2"/>
  <c r="O144" i="2"/>
  <c r="S144" i="2"/>
  <c r="S5" i="2"/>
  <c r="O5" i="2"/>
  <c r="R5" i="2"/>
  <c r="Q5" i="2"/>
  <c r="P5" i="2"/>
  <c r="S53" i="2"/>
  <c r="O53" i="2"/>
  <c r="R53" i="2"/>
  <c r="Q53" i="2"/>
  <c r="P53" i="2"/>
  <c r="Q191" i="2"/>
  <c r="P191" i="2"/>
  <c r="O191" i="2"/>
  <c r="S191" i="2"/>
  <c r="R191" i="2"/>
  <c r="S127" i="2"/>
  <c r="O127" i="2"/>
  <c r="R127" i="2"/>
  <c r="Q127" i="2"/>
  <c r="P127" i="2"/>
  <c r="Q67" i="2"/>
  <c r="P67" i="2"/>
  <c r="S67" i="2"/>
  <c r="R67" i="2"/>
  <c r="O67" i="2"/>
  <c r="Q35" i="2"/>
  <c r="P35" i="2"/>
  <c r="S35" i="2"/>
  <c r="R35" i="2"/>
  <c r="O35" i="2"/>
  <c r="P76" i="2"/>
  <c r="S76" i="2"/>
  <c r="O76" i="2"/>
  <c r="R76" i="2"/>
  <c r="Q76" i="2"/>
  <c r="P108" i="2"/>
  <c r="S108" i="2"/>
  <c r="O108" i="2"/>
  <c r="R108" i="2"/>
  <c r="Q108" i="2"/>
  <c r="R140" i="2"/>
  <c r="Q140" i="2"/>
  <c r="S140" i="2"/>
  <c r="P140" i="2"/>
  <c r="O140" i="2"/>
  <c r="P176" i="2"/>
  <c r="S176" i="2"/>
  <c r="O176" i="2"/>
  <c r="R176" i="2"/>
  <c r="Q176" i="2"/>
  <c r="P204" i="2"/>
  <c r="S204" i="2"/>
  <c r="O204" i="2"/>
  <c r="R204" i="2"/>
  <c r="Q204" i="2"/>
  <c r="P88" i="2"/>
  <c r="S88" i="2"/>
  <c r="O88" i="2"/>
  <c r="R88" i="2"/>
  <c r="Q88" i="2"/>
  <c r="R120" i="2"/>
  <c r="Q120" i="2"/>
  <c r="P120" i="2"/>
  <c r="O120" i="2"/>
  <c r="S120" i="2"/>
  <c r="P156" i="2"/>
  <c r="S156" i="2"/>
  <c r="O156" i="2"/>
  <c r="R156" i="2"/>
  <c r="Q156" i="2"/>
  <c r="P192" i="2"/>
  <c r="S192" i="2"/>
  <c r="O192" i="2"/>
  <c r="R192" i="2"/>
  <c r="Q192" i="2"/>
  <c r="S9" i="2"/>
  <c r="O9" i="2"/>
  <c r="R9" i="2"/>
  <c r="Q9" i="2"/>
  <c r="P9" i="2"/>
  <c r="S25" i="2"/>
  <c r="O25" i="2"/>
  <c r="R25" i="2"/>
  <c r="Q25" i="2"/>
  <c r="P25" i="2"/>
  <c r="S41" i="2"/>
  <c r="O41" i="2"/>
  <c r="R41" i="2"/>
  <c r="Q41" i="2"/>
  <c r="P41" i="2"/>
  <c r="S57" i="2"/>
  <c r="O57" i="2"/>
  <c r="R57" i="2"/>
  <c r="Q57" i="2"/>
  <c r="P57" i="2"/>
  <c r="S73" i="2"/>
  <c r="O73" i="2"/>
  <c r="R73" i="2"/>
  <c r="Q73" i="2"/>
  <c r="P73" i="2"/>
  <c r="S89" i="2"/>
  <c r="O89" i="2"/>
  <c r="R89" i="2"/>
  <c r="Q89" i="2"/>
  <c r="P89" i="2"/>
  <c r="S105" i="2"/>
  <c r="O105" i="2"/>
  <c r="R105" i="2"/>
  <c r="Q105" i="2"/>
  <c r="P105" i="2"/>
  <c r="Q121" i="2"/>
  <c r="P121" i="2"/>
  <c r="S121" i="2"/>
  <c r="R121" i="2"/>
  <c r="O121" i="2"/>
  <c r="Q137" i="2"/>
  <c r="P137" i="2"/>
  <c r="S137" i="2"/>
  <c r="R137" i="2"/>
  <c r="O137" i="2"/>
  <c r="S153" i="2"/>
  <c r="O153" i="2"/>
  <c r="R153" i="2"/>
  <c r="Q153" i="2"/>
  <c r="P153" i="2"/>
  <c r="S169" i="2"/>
  <c r="O169" i="2"/>
  <c r="R169" i="2"/>
  <c r="Q169" i="2"/>
  <c r="P169" i="2"/>
  <c r="S185" i="2"/>
  <c r="O185" i="2"/>
  <c r="R185" i="2"/>
  <c r="Q185" i="2"/>
  <c r="P185" i="2"/>
  <c r="S201" i="2"/>
  <c r="O201" i="2"/>
  <c r="R201" i="2"/>
  <c r="Q201" i="2"/>
  <c r="P201" i="2"/>
  <c r="R148" i="2"/>
  <c r="Q148" i="2"/>
  <c r="S148" i="2"/>
  <c r="P148" i="2"/>
  <c r="O148" i="2"/>
  <c r="R18" i="2"/>
  <c r="Q18" i="2"/>
  <c r="P18" i="2"/>
  <c r="O18" i="2"/>
  <c r="S18" i="2"/>
  <c r="R34" i="2"/>
  <c r="Q34" i="2"/>
  <c r="P34" i="2"/>
  <c r="O34" i="2"/>
  <c r="S34" i="2"/>
  <c r="R50" i="2"/>
  <c r="Q50" i="2"/>
  <c r="P50" i="2"/>
  <c r="O50" i="2"/>
  <c r="S50" i="2"/>
  <c r="R66" i="2"/>
  <c r="Q66" i="2"/>
  <c r="P66" i="2"/>
  <c r="O66" i="2"/>
  <c r="S66" i="2"/>
  <c r="R82" i="2"/>
  <c r="Q82" i="2"/>
  <c r="P82" i="2"/>
  <c r="O82" i="2"/>
  <c r="S82" i="2"/>
  <c r="R98" i="2"/>
  <c r="Q98" i="2"/>
  <c r="P98" i="2"/>
  <c r="O98" i="2"/>
  <c r="S98" i="2"/>
  <c r="R114" i="2"/>
  <c r="Q114" i="2"/>
  <c r="P114" i="2"/>
  <c r="O114" i="2"/>
  <c r="S114" i="2"/>
  <c r="P130" i="2"/>
  <c r="S130" i="2"/>
  <c r="O130" i="2"/>
  <c r="R130" i="2"/>
  <c r="Q130" i="2"/>
  <c r="P146" i="2"/>
  <c r="S146" i="2"/>
  <c r="O146" i="2"/>
  <c r="R146" i="2"/>
  <c r="Q146" i="2"/>
  <c r="R162" i="2"/>
  <c r="Q162" i="2"/>
  <c r="P162" i="2"/>
  <c r="O162" i="2"/>
  <c r="S162" i="2"/>
  <c r="R178" i="2"/>
  <c r="Q178" i="2"/>
  <c r="P178" i="2"/>
  <c r="O178" i="2"/>
  <c r="S178" i="2"/>
  <c r="R194" i="2"/>
  <c r="Q194" i="2"/>
  <c r="P194" i="2"/>
  <c r="O194" i="2"/>
  <c r="S194" i="2"/>
  <c r="R210" i="2"/>
  <c r="Q210" i="2"/>
  <c r="P210" i="2"/>
  <c r="O210" i="2"/>
  <c r="S210" i="2"/>
  <c r="Q171" i="2"/>
  <c r="P171" i="2"/>
  <c r="S171" i="2"/>
  <c r="R171" i="2"/>
  <c r="O171" i="2"/>
  <c r="Q107" i="2"/>
  <c r="P107" i="2"/>
  <c r="S107" i="2"/>
  <c r="R107" i="2"/>
  <c r="O107" i="2"/>
  <c r="P56" i="2"/>
  <c r="S56" i="2"/>
  <c r="O56" i="2"/>
  <c r="R56" i="2"/>
  <c r="Q56" i="2"/>
  <c r="P24" i="2"/>
  <c r="S24" i="2"/>
  <c r="O24" i="2"/>
  <c r="R24" i="2"/>
  <c r="Q24" i="2"/>
  <c r="Q167" i="2"/>
  <c r="P167" i="2"/>
  <c r="O167" i="2"/>
  <c r="S167" i="2"/>
  <c r="R167" i="2"/>
  <c r="Q103" i="2"/>
  <c r="P103" i="2"/>
  <c r="O103" i="2"/>
  <c r="S103" i="2"/>
  <c r="R103" i="2"/>
  <c r="Q55" i="2"/>
  <c r="P55" i="2"/>
  <c r="O55" i="2"/>
  <c r="S55" i="2"/>
  <c r="R55" i="2"/>
  <c r="Q23" i="2"/>
  <c r="P23" i="2"/>
  <c r="O23" i="2"/>
  <c r="S23" i="2"/>
  <c r="R23" i="2"/>
  <c r="N215" i="2"/>
  <c r="D11" i="5"/>
  <c r="D5" i="5"/>
  <c r="C22" i="5"/>
  <c r="Z280" i="4"/>
  <c r="Y280" i="4"/>
  <c r="E10" i="5"/>
  <c r="Q279" i="4"/>
  <c r="R279" i="4"/>
  <c r="S279" i="4"/>
  <c r="S280" i="4"/>
  <c r="O279" i="4"/>
  <c r="P279" i="4"/>
  <c r="Z216" i="2"/>
  <c r="Q215" i="2"/>
  <c r="R215" i="2"/>
  <c r="P215" i="2"/>
  <c r="S215" i="2"/>
  <c r="S216" i="2"/>
  <c r="O215" i="2"/>
  <c r="C11" i="5"/>
  <c r="C5" i="5"/>
  <c r="B22" i="5"/>
  <c r="X280" i="4"/>
  <c r="D10" i="5"/>
  <c r="R280" i="4"/>
  <c r="F4" i="5"/>
  <c r="Y216" i="2"/>
  <c r="E9" i="5"/>
  <c r="F3" i="5"/>
  <c r="R216" i="2"/>
  <c r="Q216" i="2"/>
  <c r="B11" i="5"/>
  <c r="B5" i="5"/>
  <c r="W280" i="4"/>
  <c r="B10" i="5"/>
  <c r="C10" i="5"/>
  <c r="Q280" i="4"/>
  <c r="E4" i="5"/>
  <c r="X216" i="2"/>
  <c r="D9" i="5"/>
  <c r="E3" i="5"/>
  <c r="D3" i="5"/>
  <c r="P216" i="2"/>
  <c r="G5" i="5"/>
  <c r="P280" i="4"/>
  <c r="D4" i="5"/>
  <c r="C9" i="5"/>
  <c r="W216" i="2"/>
  <c r="B9" i="5"/>
  <c r="O216" i="2"/>
  <c r="B3" i="5"/>
  <c r="G3" i="5"/>
  <c r="C3" i="5"/>
  <c r="O280" i="4"/>
  <c r="B4" i="5"/>
  <c r="G4" i="5"/>
  <c r="C4" i="5"/>
</calcChain>
</file>

<file path=xl/sharedStrings.xml><?xml version="1.0" encoding="utf-8"?>
<sst xmlns="http://schemas.openxmlformats.org/spreadsheetml/2006/main" count="2136" uniqueCount="1050">
  <si>
    <t>Brand</t>
  </si>
  <si>
    <t>Ticker</t>
  </si>
  <si>
    <t>D</t>
  </si>
  <si>
    <t>INTERNATIONAL FLAVORS &amp; FRAGRANCES</t>
  </si>
  <si>
    <t>COOPER COMPANIES</t>
  </si>
  <si>
    <t>OTIS ELEVATOR</t>
  </si>
  <si>
    <t>SNAP ON</t>
  </si>
  <si>
    <t>GENUINE PARTS</t>
  </si>
  <si>
    <t>HANESBRANDS</t>
  </si>
  <si>
    <t>MONSTER</t>
  </si>
  <si>
    <t>IDEX CORP</t>
  </si>
  <si>
    <t>TRACTOR SUPPLY</t>
  </si>
  <si>
    <t>NVR</t>
  </si>
  <si>
    <t>Monolithic Power Systems</t>
  </si>
  <si>
    <t>PERRIGO</t>
  </si>
  <si>
    <t>ROLLINS</t>
  </si>
  <si>
    <t>ILLINOIS TOOL</t>
  </si>
  <si>
    <t>MAXIM INTEGRATED PRODUCTS</t>
  </si>
  <si>
    <t>MCCORMICK &amp; CO.</t>
  </si>
  <si>
    <t>DOVER CORPoration</t>
  </si>
  <si>
    <t>D. R. HORTON</t>
  </si>
  <si>
    <t>EXPEDITORS INTERNATIONAL OF WASHINGTON</t>
  </si>
  <si>
    <t>KIMBERLY CLARKE</t>
  </si>
  <si>
    <t>LAMB WESTON</t>
  </si>
  <si>
    <t>MOSAIC</t>
  </si>
  <si>
    <t>MARTIN MARIETTA MATERIALS</t>
  </si>
  <si>
    <t>Trimble</t>
  </si>
  <si>
    <t>PTC</t>
  </si>
  <si>
    <t>LKQ CORPoration</t>
  </si>
  <si>
    <t>ALEXANDRIA REAL ESTATE</t>
  </si>
  <si>
    <t>SCHLUMBERGER</t>
  </si>
  <si>
    <t>NEWMONT</t>
  </si>
  <si>
    <t>LENNAR A</t>
  </si>
  <si>
    <t>ARTHUR J. GALLAGHER</t>
  </si>
  <si>
    <t>FISERV</t>
  </si>
  <si>
    <t>HALLIBURTON</t>
  </si>
  <si>
    <t>YUM BRANDS</t>
  </si>
  <si>
    <t>ROBERT HALF</t>
  </si>
  <si>
    <t>FMC CORP</t>
  </si>
  <si>
    <t>MOODYS CORPORATION</t>
  </si>
  <si>
    <t>FREEPORT MCMORAN</t>
  </si>
  <si>
    <t>FIDELITY NATIONAL INFORMATION</t>
  </si>
  <si>
    <t>WASTE MANAGEMENT</t>
  </si>
  <si>
    <t>CELANESE CORPORATION</t>
  </si>
  <si>
    <t>VORNADO</t>
  </si>
  <si>
    <t>Varian Medical</t>
  </si>
  <si>
    <t>VAR</t>
  </si>
  <si>
    <t>RAYMOND JAMES</t>
  </si>
  <si>
    <t>CDW CORPORATION</t>
  </si>
  <si>
    <t>NUCOR</t>
  </si>
  <si>
    <t>PUBLIC SERVICE ENTERPRISE GROUP</t>
  </si>
  <si>
    <t>HUNTINGTON BANCSHARES</t>
  </si>
  <si>
    <t>CARNIVAL CRUISES</t>
  </si>
  <si>
    <t>AMERIPRISE</t>
  </si>
  <si>
    <t>HCA HEALTHCARE</t>
  </si>
  <si>
    <t>UNUM</t>
  </si>
  <si>
    <t>PINNACLE WEST</t>
  </si>
  <si>
    <t>BRISTOL MYERS SQUIBB</t>
  </si>
  <si>
    <t>PNC FINANCIAL</t>
  </si>
  <si>
    <t>DUKE ENERGY CORPoration</t>
  </si>
  <si>
    <t>JOHNSON CONTROLS INTERNATIONAL</t>
  </si>
  <si>
    <t>CATERPILLAR</t>
  </si>
  <si>
    <t>DOMINION ENERGY</t>
  </si>
  <si>
    <t>BROWN FORMAN</t>
  </si>
  <si>
    <t>HEWLETT PACKARD</t>
  </si>
  <si>
    <t>QUALCOMM</t>
  </si>
  <si>
    <t>MERCK &amp; CO.</t>
  </si>
  <si>
    <t>TAPESTRY</t>
  </si>
  <si>
    <t>UNITEDHEALTH GROUP</t>
  </si>
  <si>
    <t>AIG</t>
  </si>
  <si>
    <t>REALTY Income Corp</t>
  </si>
  <si>
    <t>DISCOVERY</t>
  </si>
  <si>
    <t>DOW</t>
  </si>
  <si>
    <t>FOX</t>
  </si>
  <si>
    <t>BOOKING</t>
  </si>
  <si>
    <t>3M</t>
  </si>
  <si>
    <t>ABBOTT LABORATORIES</t>
  </si>
  <si>
    <t>ABBVIE</t>
  </si>
  <si>
    <t>ABIOMED</t>
  </si>
  <si>
    <t>ACCENTURE</t>
  </si>
  <si>
    <t>ACTIVISION BLIZZARD</t>
  </si>
  <si>
    <t>ADOBE SYSTEMS</t>
  </si>
  <si>
    <t>ADP</t>
  </si>
  <si>
    <t>ADVANCE AUTO PARTS</t>
  </si>
  <si>
    <t>ADVANCED MICRO DEVICES</t>
  </si>
  <si>
    <t>AES CORPORATION</t>
  </si>
  <si>
    <t>AFLAC</t>
  </si>
  <si>
    <t>AGILENT TECHNOLOGIES</t>
  </si>
  <si>
    <t>AIR PRODUCTS &amp; CHEMICALS</t>
  </si>
  <si>
    <t>AKAMAI</t>
  </si>
  <si>
    <t>ALASKA AIRLINES</t>
  </si>
  <si>
    <t>ALBEMARLE</t>
  </si>
  <si>
    <t>ALEXION PHARMACEUTICALS</t>
  </si>
  <si>
    <t>ALIGN TECHNOLOGY</t>
  </si>
  <si>
    <t>ALLEGION</t>
  </si>
  <si>
    <t>ALLIANT ENERGY</t>
  </si>
  <si>
    <t>ALLSTATE</t>
  </si>
  <si>
    <t>ALPHABET INC.</t>
  </si>
  <si>
    <t>ALTRIA GROUP</t>
  </si>
  <si>
    <t>AMAZON</t>
  </si>
  <si>
    <t>AMCOR</t>
  </si>
  <si>
    <t>AMEREN CORPORATION</t>
  </si>
  <si>
    <t>AMERICAN AIRLINES</t>
  </si>
  <si>
    <t>AMERICAN ELECTRIC POWER</t>
  </si>
  <si>
    <t>AMERICAN EXPRESS</t>
  </si>
  <si>
    <t>AMERICAN TOWER</t>
  </si>
  <si>
    <t>AMERICAN WATER WORKS</t>
  </si>
  <si>
    <t>AMERISOURCEBERGEN</t>
  </si>
  <si>
    <t>AMETEK</t>
  </si>
  <si>
    <t>AMGEN</t>
  </si>
  <si>
    <t>AMPHENOL</t>
  </si>
  <si>
    <t>ANALOG DEVICES</t>
  </si>
  <si>
    <t>ANSYS</t>
  </si>
  <si>
    <t>ANTHEM</t>
  </si>
  <si>
    <t>AON PLC</t>
  </si>
  <si>
    <t>A. O. SMITH</t>
  </si>
  <si>
    <t>APACHE CORPoration</t>
  </si>
  <si>
    <t>APPLE</t>
  </si>
  <si>
    <t>APPLIED MATERIALS</t>
  </si>
  <si>
    <t>APTIV</t>
  </si>
  <si>
    <t>ARCHER DANIELS MIDLAND</t>
  </si>
  <si>
    <t>ARISTA NETWORKS</t>
  </si>
  <si>
    <t>ASSURANT</t>
  </si>
  <si>
    <t>AT&amp;T</t>
  </si>
  <si>
    <t>ATMOS ENERGY</t>
  </si>
  <si>
    <t>AUTODESK</t>
  </si>
  <si>
    <t>AUTOZONE</t>
  </si>
  <si>
    <t>AVALONBAY COMMUNITIES</t>
  </si>
  <si>
    <t>AVERY DENNISON CORP</t>
  </si>
  <si>
    <t>BAKER HUGHES</t>
  </si>
  <si>
    <t>BALL CORP</t>
  </si>
  <si>
    <t>BANK OF AMERICA</t>
  </si>
  <si>
    <t>BANK OF NEW YORK MELLON</t>
  </si>
  <si>
    <t>BAXTER INTERNATIONAL</t>
  </si>
  <si>
    <t>BECTON DICKINSON</t>
  </si>
  <si>
    <t>BERKSHIRE HATHAWAY</t>
  </si>
  <si>
    <t>BEST BUY</t>
  </si>
  <si>
    <t>BIOGEN</t>
  </si>
  <si>
    <t>BIO-RAD LABORATORIES</t>
  </si>
  <si>
    <t>BLACKROCK</t>
  </si>
  <si>
    <t>BOEING</t>
  </si>
  <si>
    <t>BORGWARNER</t>
  </si>
  <si>
    <t>BOSTON PROPERTIES</t>
  </si>
  <si>
    <t>BOSTON SCIENTIFIC</t>
  </si>
  <si>
    <t>BROADCOM</t>
  </si>
  <si>
    <t>BROADRIDGE FINANCIAL SOLUTIONS</t>
  </si>
  <si>
    <t>CABOT OIL &amp; GAS</t>
  </si>
  <si>
    <t>CADENCE DESIGN SYSTEMS</t>
  </si>
  <si>
    <t>Caesars Entertainment</t>
  </si>
  <si>
    <t>CAMPBELL SOUP</t>
  </si>
  <si>
    <t>CAPITAL ONE</t>
  </si>
  <si>
    <t>CARDINAL HEALTH</t>
  </si>
  <si>
    <t>CARMAX</t>
  </si>
  <si>
    <t>CARRIER</t>
  </si>
  <si>
    <t>CATALENT</t>
  </si>
  <si>
    <t>CBOE GLOBAL MARKETS</t>
  </si>
  <si>
    <t>CBRE GROUP</t>
  </si>
  <si>
    <t>CENTENE CORPORATION</t>
  </si>
  <si>
    <t>CENTERPOINT ENERGY</t>
  </si>
  <si>
    <t>CERNER</t>
  </si>
  <si>
    <t>CF INDUSTRIES</t>
  </si>
  <si>
    <t>CHARLES SCHWAB</t>
  </si>
  <si>
    <t>CHARTER COMMUNICATIONS</t>
  </si>
  <si>
    <t>CHEVRON</t>
  </si>
  <si>
    <t>CHIPOTLE</t>
  </si>
  <si>
    <t>CH ROBINSON WORLDWIDE</t>
  </si>
  <si>
    <t>CHUBB</t>
  </si>
  <si>
    <t>CHURCH &amp; DWIGHT</t>
  </si>
  <si>
    <t>CIGNA</t>
  </si>
  <si>
    <t>CINCINNATI FINANCIAL</t>
  </si>
  <si>
    <t>CINTAS</t>
  </si>
  <si>
    <t>CISCO SYSTEMS</t>
  </si>
  <si>
    <t>CITIGROUP</t>
  </si>
  <si>
    <t>CITIZENS FINANCIAL GROUP</t>
  </si>
  <si>
    <t>CITRIX SYSTEMS</t>
  </si>
  <si>
    <t>CLOROX</t>
  </si>
  <si>
    <t>CME GROUP</t>
  </si>
  <si>
    <t>CMS ENERGY</t>
  </si>
  <si>
    <t>COCA-COLA</t>
  </si>
  <si>
    <t>COGNIZANT TECHNOLOGY SOLUTIONS</t>
  </si>
  <si>
    <t>COLGATE-PALMOLIVE</t>
  </si>
  <si>
    <t>COMCAST</t>
  </si>
  <si>
    <t>COMERICA</t>
  </si>
  <si>
    <t>CONAGRA</t>
  </si>
  <si>
    <t>Concho Resources</t>
  </si>
  <si>
    <t>CXO</t>
  </si>
  <si>
    <t>CONOCOPHILLIPS</t>
  </si>
  <si>
    <t>CONSOLIDATED EDISON</t>
  </si>
  <si>
    <t>CONSTELLATION BRANDS</t>
  </si>
  <si>
    <t>COPART</t>
  </si>
  <si>
    <t>CORNING</t>
  </si>
  <si>
    <t>CORTEVA</t>
  </si>
  <si>
    <t>COSTCO</t>
  </si>
  <si>
    <t>CROWN CASTLE INTERNATIONAL</t>
  </si>
  <si>
    <t>CSX CORP</t>
  </si>
  <si>
    <t>CUMMINS</t>
  </si>
  <si>
    <t>CVS HEALTH</t>
  </si>
  <si>
    <t>DANAHER</t>
  </si>
  <si>
    <t>DARDEN RESTAURANTS</t>
  </si>
  <si>
    <t>DAVITA</t>
  </si>
  <si>
    <t>DELTA AIR LINES</t>
  </si>
  <si>
    <t>DENTSPLY SIRONA</t>
  </si>
  <si>
    <t>DEVON ENERGY</t>
  </si>
  <si>
    <t>DEXCOM</t>
  </si>
  <si>
    <t>DIAMONDBACK ENERGY</t>
  </si>
  <si>
    <t>DIGITAL REALTY TRUST</t>
  </si>
  <si>
    <t>DISCOVER FINANCIAL</t>
  </si>
  <si>
    <t>DISH NETWORK</t>
  </si>
  <si>
    <t>DOLLAR GENERAL</t>
  </si>
  <si>
    <t>DOLLAR TREE</t>
  </si>
  <si>
    <t>DOMINO'S PIZZA</t>
  </si>
  <si>
    <t>DTE ENERGY</t>
  </si>
  <si>
    <t>DUKE REALTY</t>
  </si>
  <si>
    <t>DUPONT</t>
  </si>
  <si>
    <t>DXC TECHNOLOGY</t>
  </si>
  <si>
    <t>EASTMAN CHEMICAL</t>
  </si>
  <si>
    <t>EATON</t>
  </si>
  <si>
    <t>EBAY</t>
  </si>
  <si>
    <t>ECOLAB</t>
  </si>
  <si>
    <t>EDISON INTERNATIONAL</t>
  </si>
  <si>
    <t>EDWARDS LIFESCIENCES</t>
  </si>
  <si>
    <t>ELECTRONIC ARTS</t>
  </si>
  <si>
    <t>ELI LILLY</t>
  </si>
  <si>
    <t>EMERSON ELECTRIC</t>
  </si>
  <si>
    <t>ENTERGY CORPoration</t>
  </si>
  <si>
    <t>EOG RESOURCES</t>
  </si>
  <si>
    <t>EQUIFAX</t>
  </si>
  <si>
    <t>EQUINIX</t>
  </si>
  <si>
    <t>EQUITY RESIDENTIAL</t>
  </si>
  <si>
    <t>ESSEX PROPERTY TRUST</t>
  </si>
  <si>
    <t>ESTEE LAUDER</t>
  </si>
  <si>
    <t>ETSY</t>
  </si>
  <si>
    <t>EVEREST RE GROUP</t>
  </si>
  <si>
    <t>EVERGY</t>
  </si>
  <si>
    <t>EVERSOURCE ENERGY</t>
  </si>
  <si>
    <t>EXELON</t>
  </si>
  <si>
    <t>EXPEDIA</t>
  </si>
  <si>
    <t>EXTRA SPACE STORAGE</t>
  </si>
  <si>
    <t>EXXON MOBIL</t>
  </si>
  <si>
    <t>F5 NETWORKS</t>
  </si>
  <si>
    <t>FACEBOOK</t>
  </si>
  <si>
    <t>FASTENAL</t>
  </si>
  <si>
    <t>FEDERAL REALTY INVESTMENT TRUST</t>
  </si>
  <si>
    <t>FEDEX</t>
  </si>
  <si>
    <t>FIFTH THIRD BANK</t>
  </si>
  <si>
    <t>FIRSTENERGY</t>
  </si>
  <si>
    <t>FIRST REPUBLIC BANK</t>
  </si>
  <si>
    <t>FLEETCOR</t>
  </si>
  <si>
    <t>FLIR SYSTEMS</t>
  </si>
  <si>
    <t>Flowserve</t>
  </si>
  <si>
    <t>FLS</t>
  </si>
  <si>
    <t>FORD</t>
  </si>
  <si>
    <t>FORTINET</t>
  </si>
  <si>
    <t>FORTIVE</t>
  </si>
  <si>
    <t>FORTUNE BRANDS HOME &amp; SECURITY</t>
  </si>
  <si>
    <t>FRANKLIN RESOURCES</t>
  </si>
  <si>
    <t>GAP</t>
  </si>
  <si>
    <t>GARMIN</t>
  </si>
  <si>
    <t>GARTNER</t>
  </si>
  <si>
    <t>GENERAL DYNAMICS</t>
  </si>
  <si>
    <t>GENERAL ELECTRIC</t>
  </si>
  <si>
    <t>GENERAL MILLS</t>
  </si>
  <si>
    <t>GENERAL MOTORS</t>
  </si>
  <si>
    <t>GILEAD SCIENCES</t>
  </si>
  <si>
    <t>GLOBAL PAYMENTS</t>
  </si>
  <si>
    <t>GLOBE LIFE</t>
  </si>
  <si>
    <t>GOLDMAN SACHS</t>
  </si>
  <si>
    <t>HARTFORD FINANCIAL SERVICES</t>
  </si>
  <si>
    <t>HASBRO</t>
  </si>
  <si>
    <t>HEALTHPEAK PROPERTIES</t>
  </si>
  <si>
    <t>HENRY SCHEIN</t>
  </si>
  <si>
    <t>HERSHEY</t>
  </si>
  <si>
    <t>HESS CORPORATION</t>
  </si>
  <si>
    <t>HEWLETT PACKARD ENTERPRISE</t>
  </si>
  <si>
    <t>HILTON WORLDWIDE</t>
  </si>
  <si>
    <t>HOLLYFRONTIER</t>
  </si>
  <si>
    <t>HOLOGIC</t>
  </si>
  <si>
    <t>HOME DEPOT</t>
  </si>
  <si>
    <t>HONEYWELL</t>
  </si>
  <si>
    <t>HORMEL FOODS</t>
  </si>
  <si>
    <t>HOST HOTELS &amp; RESORTS</t>
  </si>
  <si>
    <t>HOWMET AEROSPACE</t>
  </si>
  <si>
    <t>HUMANA</t>
  </si>
  <si>
    <t>HUNTINGTON INGALLS INDUSTRIES</t>
  </si>
  <si>
    <t>IBM</t>
  </si>
  <si>
    <t>IDEXX LABORATORIES</t>
  </si>
  <si>
    <t>IHS MARKIT</t>
  </si>
  <si>
    <t>ILLUMINA</t>
  </si>
  <si>
    <t>INCYTE</t>
  </si>
  <si>
    <t>INGERSOLL RAND</t>
  </si>
  <si>
    <t>INTEL</t>
  </si>
  <si>
    <t>INTERCONTINENTAL EXCHANGE</t>
  </si>
  <si>
    <t>INTERNATIONAL PAPER</t>
  </si>
  <si>
    <t>INTERPUBLIC GROUP</t>
  </si>
  <si>
    <t>INTUIT</t>
  </si>
  <si>
    <t>INTUITIVE SURGICAL</t>
  </si>
  <si>
    <t>INVESCO</t>
  </si>
  <si>
    <t>IQVIA</t>
  </si>
  <si>
    <t>IRON MOUNTAIN</t>
  </si>
  <si>
    <t>JACK HENRY &amp; ASSOCIATES</t>
  </si>
  <si>
    <t>JACOBS ENGINEERING GROUP</t>
  </si>
  <si>
    <t>J.B. HUNT</t>
  </si>
  <si>
    <t>JM SMUCKER</t>
  </si>
  <si>
    <t>John DEERE</t>
  </si>
  <si>
    <t>JOHNSON &amp; JOHNSON</t>
  </si>
  <si>
    <t>JPMORGAN CHASE</t>
  </si>
  <si>
    <t>JUNIPER NETWORKS</t>
  </si>
  <si>
    <t>KANSAS CITY SOUTHERN</t>
  </si>
  <si>
    <t>KELLOGG'S</t>
  </si>
  <si>
    <t>KEYCORP</t>
  </si>
  <si>
    <t>KEYSIGHT TECHNOLOGIES</t>
  </si>
  <si>
    <t>KIMCO REALTY</t>
  </si>
  <si>
    <t>KINDER MORGAN</t>
  </si>
  <si>
    <t>KLA CORPORATION</t>
  </si>
  <si>
    <t>KRAFT HEINZ</t>
  </si>
  <si>
    <t>KROGER</t>
  </si>
  <si>
    <t>L3HARRIS</t>
  </si>
  <si>
    <t>Labcorp</t>
  </si>
  <si>
    <t>LAM RESEARCH</t>
  </si>
  <si>
    <t>LAS VEGAS SANDS</t>
  </si>
  <si>
    <t>L BRANDS</t>
  </si>
  <si>
    <t>LEGGETT &amp; PLATT</t>
  </si>
  <si>
    <t>LEIDOS</t>
  </si>
  <si>
    <t>LINCOLN NATIONAL</t>
  </si>
  <si>
    <t>LINDE</t>
  </si>
  <si>
    <t>LIVE NATION ENTERTAINMENT</t>
  </si>
  <si>
    <t>LOCKHEED MARTIN</t>
  </si>
  <si>
    <t>LOEWS corporation</t>
  </si>
  <si>
    <t>LOWE's</t>
  </si>
  <si>
    <t>LYONDELLBASELL INDUSTRIES</t>
  </si>
  <si>
    <t>M&amp;T BANK</t>
  </si>
  <si>
    <t>MARATHON OIL</t>
  </si>
  <si>
    <t>MARATHON PETROLEUM</t>
  </si>
  <si>
    <t>MARKETAXESS</t>
  </si>
  <si>
    <t>MARRIOTT INTERNATIONAL</t>
  </si>
  <si>
    <t>MARSH &amp; MCLENNAN</t>
  </si>
  <si>
    <t>MASCO CORP</t>
  </si>
  <si>
    <t>MASTERCARD</t>
  </si>
  <si>
    <t>MCDONALDS</t>
  </si>
  <si>
    <t>MCKESSON</t>
  </si>
  <si>
    <t>MEDTRONIC</t>
  </si>
  <si>
    <t>METLIFE</t>
  </si>
  <si>
    <t>METTLER TOLEDO</t>
  </si>
  <si>
    <t>MGM RESORTS</t>
  </si>
  <si>
    <t>MICROCHIP TECHNOLOGY</t>
  </si>
  <si>
    <t>MICRON TECHNOLOGY</t>
  </si>
  <si>
    <t>MICROSOFT</t>
  </si>
  <si>
    <t>MID-AMERICA APARTMENT COMMUNITIES</t>
  </si>
  <si>
    <t>MOHAWK INDUSTRIES</t>
  </si>
  <si>
    <t>MOLSON COORS BREWING</t>
  </si>
  <si>
    <t>MONDELEZ INTERNATIONAL</t>
  </si>
  <si>
    <t>MORGAN STANLEY</t>
  </si>
  <si>
    <t>MOTOROLA SOLUTIONS</t>
  </si>
  <si>
    <t>MSCI</t>
  </si>
  <si>
    <t>NASDAQ</t>
  </si>
  <si>
    <t>NATIONAL OILWELL VARCO</t>
  </si>
  <si>
    <t>NETAPP</t>
  </si>
  <si>
    <t>NETFLIX</t>
  </si>
  <si>
    <t>NEWELL BRANDS</t>
  </si>
  <si>
    <t>NEWS CORP</t>
  </si>
  <si>
    <t>NEXTERA ENERGY</t>
  </si>
  <si>
    <t>NIELSEN</t>
  </si>
  <si>
    <t>NIKE</t>
  </si>
  <si>
    <t>NISOURCE</t>
  </si>
  <si>
    <t>NORFOLK SOUTHERN</t>
  </si>
  <si>
    <t>NORTHERN TRUST</t>
  </si>
  <si>
    <t>NORTHROP GRUMMAN</t>
  </si>
  <si>
    <t>NORTONLIFELOCK</t>
  </si>
  <si>
    <t>NORWEGIAN CRUISE LINE</t>
  </si>
  <si>
    <t>NRG ENERGY</t>
  </si>
  <si>
    <t>NVIDIA</t>
  </si>
  <si>
    <t>NXP Semiconductors</t>
  </si>
  <si>
    <t>OCCIDENTAL PETROLEUM</t>
  </si>
  <si>
    <t>OLD DOMINION FREIGHT LINE</t>
  </si>
  <si>
    <t>OMNICOM GROUP</t>
  </si>
  <si>
    <t>ONEOK</t>
  </si>
  <si>
    <t>ORACLE CORP</t>
  </si>
  <si>
    <t>O'REILLY AUTO PARTS</t>
  </si>
  <si>
    <t>PACCAR</t>
  </si>
  <si>
    <t>PACKAGING CORPORATION OF AMERICA</t>
  </si>
  <si>
    <t>PARKER-HANNIFIN</t>
  </si>
  <si>
    <t>PAYCHEX</t>
  </si>
  <si>
    <t>PAYCOM</t>
  </si>
  <si>
    <t>PAYPAL</t>
  </si>
  <si>
    <t>Penn National Gaming</t>
  </si>
  <si>
    <t>PENTAIR</t>
  </si>
  <si>
    <t>PEOPLE'S UNITED FINANCIAL</t>
  </si>
  <si>
    <t>PEPSI</t>
  </si>
  <si>
    <t>PERKINELMER</t>
  </si>
  <si>
    <t>PFIZER</t>
  </si>
  <si>
    <t>PHILIP MORRIS INTERNATIONAL</t>
  </si>
  <si>
    <t>PHILLIPS 66</t>
  </si>
  <si>
    <t>PIONEER NATURAL RESOURCES</t>
  </si>
  <si>
    <t>POOLCORP</t>
  </si>
  <si>
    <t>PPG INDUSTRIES</t>
  </si>
  <si>
    <t>PPL CORPoration</t>
  </si>
  <si>
    <t>PRINCIPAL FINANCIAL</t>
  </si>
  <si>
    <t>PROCTER &amp; GAMBLE</t>
  </si>
  <si>
    <t>PROGRESSIVE</t>
  </si>
  <si>
    <t>PROLOGIS</t>
  </si>
  <si>
    <t>PRUDENTIAL FINANCIAL</t>
  </si>
  <si>
    <t>PUBLIC STORAGE</t>
  </si>
  <si>
    <t>PULTEGROUP</t>
  </si>
  <si>
    <t>PVH</t>
  </si>
  <si>
    <t>QORVO</t>
  </si>
  <si>
    <t>QUANTA SERVICES</t>
  </si>
  <si>
    <t>QUEST DIAGNOSTICS</t>
  </si>
  <si>
    <t>RALPH LAUREN</t>
  </si>
  <si>
    <t>RAYTHEON</t>
  </si>
  <si>
    <t>REGENCY CENTERS</t>
  </si>
  <si>
    <t>REGENERON PHARMACEUTICALS</t>
  </si>
  <si>
    <t>REGIONS FINANCIAL</t>
  </si>
  <si>
    <t>REPUBLIC SERVICES</t>
  </si>
  <si>
    <t>RESMED</t>
  </si>
  <si>
    <t>ROCKWELL AUTOMATION</t>
  </si>
  <si>
    <t>ROPER TECHNOLOGIES</t>
  </si>
  <si>
    <t>ROSS STORES</t>
  </si>
  <si>
    <t>ROYAL CARIBBEAN CRUISES</t>
  </si>
  <si>
    <t>SALESFORCE.COM</t>
  </si>
  <si>
    <t>S&amp;P GLOBAL</t>
  </si>
  <si>
    <t>SBA COMMUNICATIONS</t>
  </si>
  <si>
    <t>SEAGATE TECHNOLOGY</t>
  </si>
  <si>
    <t>SEALED AIR</t>
  </si>
  <si>
    <t>SEMPRA ENERGY</t>
  </si>
  <si>
    <t>SERVICENOW</t>
  </si>
  <si>
    <t>SHERWIN-WILLIAMS</t>
  </si>
  <si>
    <t>SIMON PROPERTY GROUP</t>
  </si>
  <si>
    <t>SKYWORKS SOLUTIONS</t>
  </si>
  <si>
    <t>SL Green Realty</t>
  </si>
  <si>
    <t>SLG</t>
  </si>
  <si>
    <t>SOUTHERN COMPANY</t>
  </si>
  <si>
    <t>SOUTHWEST AIRLINES</t>
  </si>
  <si>
    <t>STANLEY BLACK &amp; DECKER</t>
  </si>
  <si>
    <t>STARBUCKS</t>
  </si>
  <si>
    <t>STATE STREET CORPORATION</t>
  </si>
  <si>
    <t>STERIS</t>
  </si>
  <si>
    <t>STRYKER CORPORATION</t>
  </si>
  <si>
    <t>SVB FINANCIAL GROUP</t>
  </si>
  <si>
    <t>SYNCHRONY FINANCIAL</t>
  </si>
  <si>
    <t>SYNOPSYS</t>
  </si>
  <si>
    <t>SYSCO</t>
  </si>
  <si>
    <t>TAKE-TWO INTERACTIVE</t>
  </si>
  <si>
    <t>TARGET</t>
  </si>
  <si>
    <t>TechnipFMC</t>
  </si>
  <si>
    <t>FTI</t>
  </si>
  <si>
    <t>TE CONNECTIVITY</t>
  </si>
  <si>
    <t>TELEDYNE TECHNOLOGIES</t>
  </si>
  <si>
    <t>TELEFLEX</t>
  </si>
  <si>
    <t>TERADYNE</t>
  </si>
  <si>
    <t>TESLA</t>
  </si>
  <si>
    <t>TEXAS INSTRUMENTS</t>
  </si>
  <si>
    <t>TEXTRON</t>
  </si>
  <si>
    <t>THERMO FISHER SCIENTIFIC</t>
  </si>
  <si>
    <t>Tiffany &amp; Co</t>
  </si>
  <si>
    <t>TIF</t>
  </si>
  <si>
    <t>TJX</t>
  </si>
  <si>
    <t>T-MOBILE</t>
  </si>
  <si>
    <t>TRANE TECHNOLOGIES</t>
  </si>
  <si>
    <t>TRANSDIGM GROUP</t>
  </si>
  <si>
    <t>TRAVELERS COMPANIES</t>
  </si>
  <si>
    <t>T. ROWE PRICE</t>
  </si>
  <si>
    <t>TRUIST FINANCIAL</t>
  </si>
  <si>
    <t>TWITTER</t>
  </si>
  <si>
    <t>TYLER TECHNOLOGIES</t>
  </si>
  <si>
    <t>TYSON FOODS</t>
  </si>
  <si>
    <t>UDR</t>
  </si>
  <si>
    <t>ULTA BEAUTY</t>
  </si>
  <si>
    <t>UNDER ARMOUR</t>
  </si>
  <si>
    <t>UNION PACIFIC Railroad</t>
  </si>
  <si>
    <t>UNITED AIRLINES</t>
  </si>
  <si>
    <t>UNITED RENTALS</t>
  </si>
  <si>
    <t>UNIVERSAL HEALTH SERVICES</t>
  </si>
  <si>
    <t>UPS</t>
  </si>
  <si>
    <t>US BANK</t>
  </si>
  <si>
    <t>VALERO ENERGY</t>
  </si>
  <si>
    <t>VENTAS</t>
  </si>
  <si>
    <t>VERISIGN</t>
  </si>
  <si>
    <t>VERISK ANALYTICS</t>
  </si>
  <si>
    <t>VERIZON</t>
  </si>
  <si>
    <t>VERTEX PHARMACEUTICALS</t>
  </si>
  <si>
    <t>VF CORP</t>
  </si>
  <si>
    <t>VIACOMCBS</t>
  </si>
  <si>
    <t>VIATRIS</t>
  </si>
  <si>
    <t>VISA</t>
  </si>
  <si>
    <t>Vontier</t>
  </si>
  <si>
    <t>VNT</t>
  </si>
  <si>
    <t>VULCAN MATERIALS</t>
  </si>
  <si>
    <t>Wabtec Corporation</t>
  </si>
  <si>
    <t>WALGREENS</t>
  </si>
  <si>
    <t>WALMART</t>
  </si>
  <si>
    <t>WALT DISNEY</t>
  </si>
  <si>
    <t>WATERS CORPoration</t>
  </si>
  <si>
    <t>WEC ENERGY</t>
  </si>
  <si>
    <t>WELLS FARGO</t>
  </si>
  <si>
    <t>WELLTOWER</t>
  </si>
  <si>
    <t>WESTERN DIGITAL</t>
  </si>
  <si>
    <t>WESTERN UNION</t>
  </si>
  <si>
    <t>WEST PHARMACEUTICAL SERVICES</t>
  </si>
  <si>
    <t>WESTROCK</t>
  </si>
  <si>
    <t>WEYERHAEUSER</t>
  </si>
  <si>
    <t>WHIRLPOOL</t>
  </si>
  <si>
    <t>WILLIAMS Companies</t>
  </si>
  <si>
    <t>WILLIS TOWERS WATSON</t>
  </si>
  <si>
    <t>W.R. BERKLEY</t>
  </si>
  <si>
    <t>WW GRAINGER</t>
  </si>
  <si>
    <t>WYNN RESORTS</t>
  </si>
  <si>
    <t>XCEL ENERGY</t>
  </si>
  <si>
    <t>Xerox</t>
  </si>
  <si>
    <t>XRX</t>
  </si>
  <si>
    <t>XILINX</t>
  </si>
  <si>
    <t>XYLEM</t>
  </si>
  <si>
    <t>ZEBRA TECHNOLOGIES</t>
  </si>
  <si>
    <t>ZIMMER BIOMET</t>
  </si>
  <si>
    <t>ZIONS BANCORPORATION</t>
  </si>
  <si>
    <t>ZOETIS</t>
  </si>
  <si>
    <t>IFF</t>
  </si>
  <si>
    <t>COO</t>
  </si>
  <si>
    <t>OTIS</t>
  </si>
  <si>
    <t>SNA</t>
  </si>
  <si>
    <t>GPC</t>
  </si>
  <si>
    <t>HBI</t>
  </si>
  <si>
    <t>MNST</t>
  </si>
  <si>
    <t>IEX</t>
  </si>
  <si>
    <t>TSCO</t>
  </si>
  <si>
    <t>MPWR</t>
  </si>
  <si>
    <t>PRGO</t>
  </si>
  <si>
    <t>ROL</t>
  </si>
  <si>
    <t>ITW</t>
  </si>
  <si>
    <t>MXIM</t>
  </si>
  <si>
    <t>MKC</t>
  </si>
  <si>
    <t>DOV</t>
  </si>
  <si>
    <t>DHI</t>
  </si>
  <si>
    <t>EXPD</t>
  </si>
  <si>
    <t>KMB</t>
  </si>
  <si>
    <t>LW</t>
  </si>
  <si>
    <t>MOS</t>
  </si>
  <si>
    <t>MLM</t>
  </si>
  <si>
    <t>TRMB</t>
  </si>
  <si>
    <t>LKQ</t>
  </si>
  <si>
    <t>ARE</t>
  </si>
  <si>
    <t>SLB</t>
  </si>
  <si>
    <t>NEM</t>
  </si>
  <si>
    <t>LEN</t>
  </si>
  <si>
    <t>AJG</t>
  </si>
  <si>
    <t>FISV</t>
  </si>
  <si>
    <t>HAL</t>
  </si>
  <si>
    <t>YUM</t>
  </si>
  <si>
    <t>RHI</t>
  </si>
  <si>
    <t>FMC</t>
  </si>
  <si>
    <t>MCO</t>
  </si>
  <si>
    <t>FCX</t>
  </si>
  <si>
    <t>FIS</t>
  </si>
  <si>
    <t>WM</t>
  </si>
  <si>
    <t>CE</t>
  </si>
  <si>
    <t>VNO</t>
  </si>
  <si>
    <t>RJF</t>
  </si>
  <si>
    <t>CDW</t>
  </si>
  <si>
    <t>NUE</t>
  </si>
  <si>
    <t>PEG</t>
  </si>
  <si>
    <t>HBAN</t>
  </si>
  <si>
    <t>CCL</t>
  </si>
  <si>
    <t>AMP</t>
  </si>
  <si>
    <t>HCA</t>
  </si>
  <si>
    <t>UNM</t>
  </si>
  <si>
    <t>PNW</t>
  </si>
  <si>
    <t>BMY</t>
  </si>
  <si>
    <t>PNC</t>
  </si>
  <si>
    <t>DUK</t>
  </si>
  <si>
    <t>JCI</t>
  </si>
  <si>
    <t>CAT</t>
  </si>
  <si>
    <t>BF.B</t>
  </si>
  <si>
    <t>HPQ</t>
  </si>
  <si>
    <t>QCOM</t>
  </si>
  <si>
    <t>MRK</t>
  </si>
  <si>
    <t>TPR</t>
  </si>
  <si>
    <t>UNH</t>
  </si>
  <si>
    <t>O</t>
  </si>
  <si>
    <t>DISCA</t>
  </si>
  <si>
    <t>FOXA</t>
  </si>
  <si>
    <t>BKNG</t>
  </si>
  <si>
    <t>MMM</t>
  </si>
  <si>
    <t>ABT</t>
  </si>
  <si>
    <t>ABBV</t>
  </si>
  <si>
    <t>ABMD</t>
  </si>
  <si>
    <t>ACN</t>
  </si>
  <si>
    <t>ATVI</t>
  </si>
  <si>
    <t>ADBE</t>
  </si>
  <si>
    <t>AAP</t>
  </si>
  <si>
    <t>AMD</t>
  </si>
  <si>
    <t>AES</t>
  </si>
  <si>
    <t>AFL</t>
  </si>
  <si>
    <t>A</t>
  </si>
  <si>
    <t>APD</t>
  </si>
  <si>
    <t>AKAM</t>
  </si>
  <si>
    <t>ALK</t>
  </si>
  <si>
    <t>ALB</t>
  </si>
  <si>
    <t>ALXN</t>
  </si>
  <si>
    <t>ALGN</t>
  </si>
  <si>
    <t>ALLE</t>
  </si>
  <si>
    <t>LNT</t>
  </si>
  <si>
    <t>ALL</t>
  </si>
  <si>
    <t>GOOGL</t>
  </si>
  <si>
    <t>MO</t>
  </si>
  <si>
    <t>AMZN</t>
  </si>
  <si>
    <t>AMCR</t>
  </si>
  <si>
    <t>AEE</t>
  </si>
  <si>
    <t>AAL</t>
  </si>
  <si>
    <t>AEP</t>
  </si>
  <si>
    <t>AXP</t>
  </si>
  <si>
    <t>AMT</t>
  </si>
  <si>
    <t>AWK</t>
  </si>
  <si>
    <t>ABC</t>
  </si>
  <si>
    <t>AME</t>
  </si>
  <si>
    <t>AMGN</t>
  </si>
  <si>
    <t>APH</t>
  </si>
  <si>
    <t>ADI</t>
  </si>
  <si>
    <t>ANSS</t>
  </si>
  <si>
    <t>ANTM</t>
  </si>
  <si>
    <t>AON</t>
  </si>
  <si>
    <t>AOS</t>
  </si>
  <si>
    <t>APA</t>
  </si>
  <si>
    <t>AAPL</t>
  </si>
  <si>
    <t>AMAT</t>
  </si>
  <si>
    <t>APTV</t>
  </si>
  <si>
    <t>ADM</t>
  </si>
  <si>
    <t>ANET</t>
  </si>
  <si>
    <t>AIZ</t>
  </si>
  <si>
    <t>T</t>
  </si>
  <si>
    <t>ATO</t>
  </si>
  <si>
    <t>ADSK</t>
  </si>
  <si>
    <t>AZO</t>
  </si>
  <si>
    <t>AVB</t>
  </si>
  <si>
    <t>AVY</t>
  </si>
  <si>
    <t>BKR</t>
  </si>
  <si>
    <t>BLL</t>
  </si>
  <si>
    <t>BAC</t>
  </si>
  <si>
    <t>BK</t>
  </si>
  <si>
    <t>BAX</t>
  </si>
  <si>
    <t>BDX</t>
  </si>
  <si>
    <t>BRK.B</t>
  </si>
  <si>
    <t>BBY</t>
  </si>
  <si>
    <t>BIIB</t>
  </si>
  <si>
    <t>BIO</t>
  </si>
  <si>
    <t>BLK</t>
  </si>
  <si>
    <t>BA</t>
  </si>
  <si>
    <t>BWA</t>
  </si>
  <si>
    <t>BXP</t>
  </si>
  <si>
    <t>BSX</t>
  </si>
  <si>
    <t>AVGO</t>
  </si>
  <si>
    <t>BR</t>
  </si>
  <si>
    <t>COG</t>
  </si>
  <si>
    <t>CDNS</t>
  </si>
  <si>
    <t>CZR</t>
  </si>
  <si>
    <t>CPB</t>
  </si>
  <si>
    <t>COF</t>
  </si>
  <si>
    <t>CAH</t>
  </si>
  <si>
    <t>KMX</t>
  </si>
  <si>
    <t>CARR</t>
  </si>
  <si>
    <t>CTLT</t>
  </si>
  <si>
    <t>CBOE</t>
  </si>
  <si>
    <t>CBRE</t>
  </si>
  <si>
    <t>CNC</t>
  </si>
  <si>
    <t>CNP</t>
  </si>
  <si>
    <t>CERN</t>
  </si>
  <si>
    <t>CF</t>
  </si>
  <si>
    <t>SCHW</t>
  </si>
  <si>
    <t>CHTR</t>
  </si>
  <si>
    <t>CVX</t>
  </si>
  <si>
    <t>CMG</t>
  </si>
  <si>
    <t>CHRW</t>
  </si>
  <si>
    <t>CB</t>
  </si>
  <si>
    <t>CHD</t>
  </si>
  <si>
    <t>CI</t>
  </si>
  <si>
    <t>CINF</t>
  </si>
  <si>
    <t>CTAS</t>
  </si>
  <si>
    <t>CSCO</t>
  </si>
  <si>
    <t>C</t>
  </si>
  <si>
    <t>CFG</t>
  </si>
  <si>
    <t>CTXS</t>
  </si>
  <si>
    <t>CLX</t>
  </si>
  <si>
    <t>CME</t>
  </si>
  <si>
    <t>CMS</t>
  </si>
  <si>
    <t>KO</t>
  </si>
  <si>
    <t>CTSH</t>
  </si>
  <si>
    <t>CL</t>
  </si>
  <si>
    <t>CMCSA</t>
  </si>
  <si>
    <t>CMA</t>
  </si>
  <si>
    <t>CAG</t>
  </si>
  <si>
    <t>COP</t>
  </si>
  <si>
    <t>ED</t>
  </si>
  <si>
    <t>STZ</t>
  </si>
  <si>
    <t>CPRT</t>
  </si>
  <si>
    <t>GLW</t>
  </si>
  <si>
    <t>CTVA</t>
  </si>
  <si>
    <t>COST</t>
  </si>
  <si>
    <t>CCI</t>
  </si>
  <si>
    <t>CSX</t>
  </si>
  <si>
    <t>CMI</t>
  </si>
  <si>
    <t>CVS</t>
  </si>
  <si>
    <t>DHR</t>
  </si>
  <si>
    <t>DRI</t>
  </si>
  <si>
    <t>DVA</t>
  </si>
  <si>
    <t>DAL</t>
  </si>
  <si>
    <t>XRAY</t>
  </si>
  <si>
    <t>DVN</t>
  </si>
  <si>
    <t>DXCM</t>
  </si>
  <si>
    <t>FANG</t>
  </si>
  <si>
    <t>DLR</t>
  </si>
  <si>
    <t>DFS</t>
  </si>
  <si>
    <t>DISH</t>
  </si>
  <si>
    <t>DG</t>
  </si>
  <si>
    <t>DLTR</t>
  </si>
  <si>
    <t>DPZ</t>
  </si>
  <si>
    <t>DTE</t>
  </si>
  <si>
    <t>DRE</t>
  </si>
  <si>
    <t>DD</t>
  </si>
  <si>
    <t>DXC</t>
  </si>
  <si>
    <t>EMN</t>
  </si>
  <si>
    <t>ETN</t>
  </si>
  <si>
    <t>ECL</t>
  </si>
  <si>
    <t>EIX</t>
  </si>
  <si>
    <t>EW</t>
  </si>
  <si>
    <t>EA</t>
  </si>
  <si>
    <t>LLY</t>
  </si>
  <si>
    <t>EMR</t>
  </si>
  <si>
    <t>ETR</t>
  </si>
  <si>
    <t>EOG</t>
  </si>
  <si>
    <t>EFX</t>
  </si>
  <si>
    <t>EQIX</t>
  </si>
  <si>
    <t>EQR</t>
  </si>
  <si>
    <t>ESS</t>
  </si>
  <si>
    <t>EL</t>
  </si>
  <si>
    <t>RE</t>
  </si>
  <si>
    <t>EVRG</t>
  </si>
  <si>
    <t>ES</t>
  </si>
  <si>
    <t>EXC</t>
  </si>
  <si>
    <t>EXPE</t>
  </si>
  <si>
    <t>EXR</t>
  </si>
  <si>
    <t>XOM</t>
  </si>
  <si>
    <t>FFIV</t>
  </si>
  <si>
    <t>FB</t>
  </si>
  <si>
    <t>FAST</t>
  </si>
  <si>
    <t>FRT</t>
  </si>
  <si>
    <t>FDX</t>
  </si>
  <si>
    <t>FITB</t>
  </si>
  <si>
    <t>FE</t>
  </si>
  <si>
    <t>FRC</t>
  </si>
  <si>
    <t>FLT</t>
  </si>
  <si>
    <t>FLIR</t>
  </si>
  <si>
    <t>F</t>
  </si>
  <si>
    <t>FTNT</t>
  </si>
  <si>
    <t>FTV</t>
  </si>
  <si>
    <t>FBHS</t>
  </si>
  <si>
    <t>BEN</t>
  </si>
  <si>
    <t>GPS</t>
  </si>
  <si>
    <t>GRMN</t>
  </si>
  <si>
    <t>IT</t>
  </si>
  <si>
    <t>GD</t>
  </si>
  <si>
    <t>GE</t>
  </si>
  <si>
    <t>GIS</t>
  </si>
  <si>
    <t>GM</t>
  </si>
  <si>
    <t>GILD</t>
  </si>
  <si>
    <t>GPN</t>
  </si>
  <si>
    <t>GL</t>
  </si>
  <si>
    <t>GS</t>
  </si>
  <si>
    <t>HIG</t>
  </si>
  <si>
    <t>HAS</t>
  </si>
  <si>
    <t>PEAK</t>
  </si>
  <si>
    <t>HSIC</t>
  </si>
  <si>
    <t>HSY</t>
  </si>
  <si>
    <t>HES</t>
  </si>
  <si>
    <t>HPE</t>
  </si>
  <si>
    <t>HLT</t>
  </si>
  <si>
    <t>HFC</t>
  </si>
  <si>
    <t>HOLX</t>
  </si>
  <si>
    <t>HD</t>
  </si>
  <si>
    <t>HON</t>
  </si>
  <si>
    <t>HRL</t>
  </si>
  <si>
    <t>HST</t>
  </si>
  <si>
    <t>HWM</t>
  </si>
  <si>
    <t>HUM</t>
  </si>
  <si>
    <t>HII</t>
  </si>
  <si>
    <t>IDXX</t>
  </si>
  <si>
    <t>INFO</t>
  </si>
  <si>
    <t>ILMN</t>
  </si>
  <si>
    <t>INCY</t>
  </si>
  <si>
    <t>IR</t>
  </si>
  <si>
    <t>INTC</t>
  </si>
  <si>
    <t>ICE</t>
  </si>
  <si>
    <t>IP</t>
  </si>
  <si>
    <t>IPG</t>
  </si>
  <si>
    <t>INTU</t>
  </si>
  <si>
    <t>ISRG</t>
  </si>
  <si>
    <t>IVZ</t>
  </si>
  <si>
    <t>IQV</t>
  </si>
  <si>
    <t>IRM</t>
  </si>
  <si>
    <t>JKHY</t>
  </si>
  <si>
    <t>J</t>
  </si>
  <si>
    <t>JBHT</t>
  </si>
  <si>
    <t>SJM</t>
  </si>
  <si>
    <t>DE</t>
  </si>
  <si>
    <t>JNJ</t>
  </si>
  <si>
    <t>JPM</t>
  </si>
  <si>
    <t>JNPR</t>
  </si>
  <si>
    <t>KSU</t>
  </si>
  <si>
    <t>K</t>
  </si>
  <si>
    <t>KEY</t>
  </si>
  <si>
    <t>KEYS</t>
  </si>
  <si>
    <t>KIM</t>
  </si>
  <si>
    <t>KMI</t>
  </si>
  <si>
    <t>KLAC</t>
  </si>
  <si>
    <t>KHC</t>
  </si>
  <si>
    <t>KR</t>
  </si>
  <si>
    <t>LHX</t>
  </si>
  <si>
    <t>LH</t>
  </si>
  <si>
    <t>LRCX</t>
  </si>
  <si>
    <t>LVS</t>
  </si>
  <si>
    <t>LB</t>
  </si>
  <si>
    <t>LEG</t>
  </si>
  <si>
    <t>LDOS</t>
  </si>
  <si>
    <t>LNC</t>
  </si>
  <si>
    <t>LIN</t>
  </si>
  <si>
    <t>LYV</t>
  </si>
  <si>
    <t>LMT</t>
  </si>
  <si>
    <t>L</t>
  </si>
  <si>
    <t>LOW</t>
  </si>
  <si>
    <t>LYB</t>
  </si>
  <si>
    <t>MTB</t>
  </si>
  <si>
    <t>MRO</t>
  </si>
  <si>
    <t>MPC</t>
  </si>
  <si>
    <t>MKTX</t>
  </si>
  <si>
    <t>MAR</t>
  </si>
  <si>
    <t>MMC</t>
  </si>
  <si>
    <t>MAS</t>
  </si>
  <si>
    <t>MA</t>
  </si>
  <si>
    <t>MCD</t>
  </si>
  <si>
    <t>MCK</t>
  </si>
  <si>
    <t>MDT</t>
  </si>
  <si>
    <t>MET</t>
  </si>
  <si>
    <t>MTD</t>
  </si>
  <si>
    <t>MGM</t>
  </si>
  <si>
    <t>MCHP</t>
  </si>
  <si>
    <t>MU</t>
  </si>
  <si>
    <t>MSFT</t>
  </si>
  <si>
    <t>MAA</t>
  </si>
  <si>
    <t>MHK</t>
  </si>
  <si>
    <t>TAP</t>
  </si>
  <si>
    <t>MDLZ</t>
  </si>
  <si>
    <t>MS</t>
  </si>
  <si>
    <t>MSI</t>
  </si>
  <si>
    <t>NDAQ</t>
  </si>
  <si>
    <t>NOV</t>
  </si>
  <si>
    <t>NTAP</t>
  </si>
  <si>
    <t>NFLX</t>
  </si>
  <si>
    <t>NWL</t>
  </si>
  <si>
    <t>NWSA</t>
  </si>
  <si>
    <t>NEE</t>
  </si>
  <si>
    <t>NLSN</t>
  </si>
  <si>
    <t>NKE</t>
  </si>
  <si>
    <t>NI</t>
  </si>
  <si>
    <t>NSC</t>
  </si>
  <si>
    <t>NTRS</t>
  </si>
  <si>
    <t>NOC</t>
  </si>
  <si>
    <t>NLOK</t>
  </si>
  <si>
    <t>NCLH</t>
  </si>
  <si>
    <t>NRG</t>
  </si>
  <si>
    <t>NVDA</t>
  </si>
  <si>
    <t>NXPI</t>
  </si>
  <si>
    <t>OXY</t>
  </si>
  <si>
    <t>ODFL</t>
  </si>
  <si>
    <t>OMC</t>
  </si>
  <si>
    <t>OKE</t>
  </si>
  <si>
    <t>ORCL</t>
  </si>
  <si>
    <t>ORLY</t>
  </si>
  <si>
    <t>PCAR</t>
  </si>
  <si>
    <t>PKG</t>
  </si>
  <si>
    <t>PH</t>
  </si>
  <si>
    <t>PAYX</t>
  </si>
  <si>
    <t>PAYC</t>
  </si>
  <si>
    <t>PYPL</t>
  </si>
  <si>
    <t>PENN</t>
  </si>
  <si>
    <t>PNR</t>
  </si>
  <si>
    <t>PBCT</t>
  </si>
  <si>
    <t>PEP</t>
  </si>
  <si>
    <t>PKI</t>
  </si>
  <si>
    <t>PFE</t>
  </si>
  <si>
    <t>PM</t>
  </si>
  <si>
    <t>PSX</t>
  </si>
  <si>
    <t>PXD</t>
  </si>
  <si>
    <t>POOL</t>
  </si>
  <si>
    <t>PPG</t>
  </si>
  <si>
    <t>PPL</t>
  </si>
  <si>
    <t>PFG</t>
  </si>
  <si>
    <t>PG</t>
  </si>
  <si>
    <t>PGR</t>
  </si>
  <si>
    <t>PLD</t>
  </si>
  <si>
    <t>PRU</t>
  </si>
  <si>
    <t>PSA</t>
  </si>
  <si>
    <t>PHM</t>
  </si>
  <si>
    <t>QRVO</t>
  </si>
  <si>
    <t>PWR</t>
  </si>
  <si>
    <t>DGX</t>
  </si>
  <si>
    <t>RL</t>
  </si>
  <si>
    <t>RTX</t>
  </si>
  <si>
    <t>REG</t>
  </si>
  <si>
    <t>REGN</t>
  </si>
  <si>
    <t>RF</t>
  </si>
  <si>
    <t>RSG</t>
  </si>
  <si>
    <t>RMD</t>
  </si>
  <si>
    <t>ROK</t>
  </si>
  <si>
    <t>ROP</t>
  </si>
  <si>
    <t>ROST</t>
  </si>
  <si>
    <t>RCL</t>
  </si>
  <si>
    <t>CRM</t>
  </si>
  <si>
    <t>SPGI</t>
  </si>
  <si>
    <t>SBAC</t>
  </si>
  <si>
    <t>STX</t>
  </si>
  <si>
    <t>SEE</t>
  </si>
  <si>
    <t>SRE</t>
  </si>
  <si>
    <t>NOW</t>
  </si>
  <si>
    <t>SHW</t>
  </si>
  <si>
    <t>SPG</t>
  </si>
  <si>
    <t>SWKS</t>
  </si>
  <si>
    <t>SO</t>
  </si>
  <si>
    <t>LUV</t>
  </si>
  <si>
    <t>SWK</t>
  </si>
  <si>
    <t>SBUX</t>
  </si>
  <si>
    <t>STT</t>
  </si>
  <si>
    <t>STE</t>
  </si>
  <si>
    <t>SYK</t>
  </si>
  <si>
    <t>SIVB</t>
  </si>
  <si>
    <t>SYF</t>
  </si>
  <si>
    <t>SNPS</t>
  </si>
  <si>
    <t>SYY</t>
  </si>
  <si>
    <t>TTWO</t>
  </si>
  <si>
    <t>TGT</t>
  </si>
  <si>
    <t>TEL</t>
  </si>
  <si>
    <t>TDY</t>
  </si>
  <si>
    <t>TFX</t>
  </si>
  <si>
    <t>TER</t>
  </si>
  <si>
    <t>TSLA</t>
  </si>
  <si>
    <t>TXN</t>
  </si>
  <si>
    <t>TXT</t>
  </si>
  <si>
    <t>TMO</t>
  </si>
  <si>
    <t>TMUS</t>
  </si>
  <si>
    <t>TT</t>
  </si>
  <si>
    <t>TDG</t>
  </si>
  <si>
    <t>TRV</t>
  </si>
  <si>
    <t>TROW</t>
  </si>
  <si>
    <t>TFC</t>
  </si>
  <si>
    <t>TWTR</t>
  </si>
  <si>
    <t>TYL</t>
  </si>
  <si>
    <t>TSN</t>
  </si>
  <si>
    <t>ULTA</t>
  </si>
  <si>
    <t>UAA</t>
  </si>
  <si>
    <t>UNP</t>
  </si>
  <si>
    <t>UAL</t>
  </si>
  <si>
    <t>URI</t>
  </si>
  <si>
    <t>UHS</t>
  </si>
  <si>
    <t>USB</t>
  </si>
  <si>
    <t>VLO</t>
  </si>
  <si>
    <t>VTR</t>
  </si>
  <si>
    <t>VRSN</t>
  </si>
  <si>
    <t>VRSK</t>
  </si>
  <si>
    <t>VZ</t>
  </si>
  <si>
    <t>VRTX</t>
  </si>
  <si>
    <t>VFC</t>
  </si>
  <si>
    <t>VIAC</t>
  </si>
  <si>
    <t>VTRS</t>
  </si>
  <si>
    <t>V</t>
  </si>
  <si>
    <t>VMC</t>
  </si>
  <si>
    <t>WAB</t>
  </si>
  <si>
    <t>WBA</t>
  </si>
  <si>
    <t>WMT</t>
  </si>
  <si>
    <t>DIS</t>
  </si>
  <si>
    <t>WAT</t>
  </si>
  <si>
    <t>WEC</t>
  </si>
  <si>
    <t>WFC</t>
  </si>
  <si>
    <t>WELL</t>
  </si>
  <si>
    <t>WDC</t>
  </si>
  <si>
    <t>WU</t>
  </si>
  <si>
    <t>WST</t>
  </si>
  <si>
    <t>WRK</t>
  </si>
  <si>
    <t>WY</t>
  </si>
  <si>
    <t>WHR</t>
  </si>
  <si>
    <t>WMB</t>
  </si>
  <si>
    <t>WLTW</t>
  </si>
  <si>
    <t>WRB</t>
  </si>
  <si>
    <t>GWW</t>
  </si>
  <si>
    <t>WYNN</t>
  </si>
  <si>
    <t>XEL</t>
  </si>
  <si>
    <t>XLNX</t>
  </si>
  <si>
    <t>XYL</t>
  </si>
  <si>
    <t>ZBRA</t>
  </si>
  <si>
    <t>ZBH</t>
  </si>
  <si>
    <t>ZION</t>
  </si>
  <si>
    <t>ZTS</t>
  </si>
  <si>
    <t>Bloomberg Ticker</t>
  </si>
  <si>
    <t>2018</t>
  </si>
  <si>
    <t>2019</t>
  </si>
  <si>
    <t>2020</t>
  </si>
  <si>
    <t>2017</t>
  </si>
  <si>
    <t>2016</t>
  </si>
  <si>
    <t>MKT CAP</t>
  </si>
  <si>
    <t>EQUAL WT</t>
  </si>
  <si>
    <t>DEMS</t>
  </si>
  <si>
    <t>REPUB</t>
  </si>
  <si>
    <t># OBSERVATIONS</t>
  </si>
  <si>
    <t>SPY</t>
  </si>
  <si>
    <t>Equal WT</t>
  </si>
  <si>
    <t xml:space="preserve">** Companies were no tincluded in the analysis because they either didn't have any recorded political contributions, or were not a part of the S&amp;P 500 </t>
  </si>
  <si>
    <t>for the entire length of the study and performance information was not available.</t>
  </si>
  <si>
    <t>SALESFORCE</t>
  </si>
  <si>
    <t>KIMBERLY CLARK</t>
  </si>
  <si>
    <t>Enphase Energy</t>
  </si>
  <si>
    <t>ENPH</t>
  </si>
  <si>
    <t>Generac</t>
  </si>
  <si>
    <t>GNRC</t>
  </si>
  <si>
    <t>IPG PHOTONICS</t>
  </si>
  <si>
    <t>IPGP</t>
  </si>
  <si>
    <t>LUMEN TECHNOLOGIES</t>
  </si>
  <si>
    <t>LUMN</t>
  </si>
  <si>
    <t>Did Not Exist</t>
  </si>
  <si>
    <t>No Results</t>
  </si>
  <si>
    <t>Discovery</t>
  </si>
  <si>
    <t>DISCK</t>
  </si>
  <si>
    <t>Fox</t>
  </si>
  <si>
    <t>DNE</t>
  </si>
  <si>
    <t>Alphabet</t>
  </si>
  <si>
    <t>GOOG</t>
  </si>
  <si>
    <t>News Corp</t>
  </si>
  <si>
    <t>NWS</t>
  </si>
  <si>
    <t>Under Armour</t>
  </si>
  <si>
    <t>UA</t>
  </si>
  <si>
    <t>Mkt Cap</t>
  </si>
  <si>
    <t>In Billion</t>
  </si>
  <si>
    <t>c</t>
  </si>
  <si>
    <t>Second Stock included in SP500</t>
  </si>
  <si>
    <t>value on 3/31/2016, the earliest available</t>
  </si>
  <si>
    <t>2015 MKT WT</t>
  </si>
  <si>
    <t>12/31/2015 Market Cap</t>
  </si>
  <si>
    <t>Full Year Total Return</t>
  </si>
  <si>
    <t>Contribution</t>
  </si>
  <si>
    <t>Full Year Total Return Contribution Using MKT CAP</t>
  </si>
  <si>
    <t>Full Year Total Return Contribution Using Equal Weight</t>
  </si>
  <si>
    <t>Check</t>
  </si>
  <si>
    <t>Growth of $1000 Calculation</t>
  </si>
  <si>
    <t>Annualized</t>
  </si>
  <si>
    <t>Percent to Democrats</t>
  </si>
  <si>
    <t>Percent to Republicans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</si>
</sst>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1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1" fillId="3" borderId="0" applyFont="0" applyBorder="0" applyAlignment="0"/>
  </cellStyleXfs>
  <cellXfs count="110">
    <xf numFmtId="0" fontId="0" fillId="0" borderId="0" xfId="0"/>
    <xf numFmtId="0" fontId="0" fillId="0" borderId="0" xfId="0" applyAlignment="1">
      <alignment horizontal="center"/>
    </xf>
    <xf numFmtId="43" fontId="0" fillId="0" borderId="0" xfId="2" applyFont="1" applyAlignment="1">
      <alignment horizontal="center"/>
    </xf>
    <xf numFmtId="43" fontId="0" fillId="0" borderId="0" xfId="0" applyNumberFormat="1" applyBorder="1"/>
    <xf numFmtId="0" fontId="0" fillId="0" borderId="0" xfId="0" applyBorder="1"/>
    <xf numFmtId="0" fontId="3" fillId="0" borderId="0" xfId="0" applyFont="1" applyBorder="1"/>
    <xf numFmtId="0" fontId="2" fillId="0" borderId="0" xfId="0" applyFont="1"/>
    <xf numFmtId="43" fontId="4" fillId="0" borderId="0" xfId="0" applyNumberFormat="1" applyFont="1" applyBorder="1"/>
    <xf numFmtId="4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0" fontId="0" fillId="0" borderId="0" xfId="3" applyNumberFormat="1" applyFont="1" applyBorder="1"/>
    <xf numFmtId="0" fontId="5" fillId="2" borderId="0" xfId="4"/>
    <xf numFmtId="165" fontId="0" fillId="0" borderId="0" xfId="1" applyNumberFormat="1" applyFont="1"/>
    <xf numFmtId="165" fontId="0" fillId="0" borderId="0" xfId="0" applyNumberFormat="1"/>
    <xf numFmtId="0" fontId="0" fillId="0" borderId="0" xfId="0" applyBorder="1" applyAlignment="1">
      <alignment horizontal="center"/>
    </xf>
    <xf numFmtId="43" fontId="0" fillId="0" borderId="0" xfId="2" applyFont="1" applyBorder="1" applyAlignment="1">
      <alignment horizontal="center"/>
    </xf>
    <xf numFmtId="44" fontId="0" fillId="0" borderId="0" xfId="2" applyNumberFormat="1" applyFont="1" applyBorder="1" applyAlignment="1">
      <alignment horizontal="center"/>
    </xf>
    <xf numFmtId="165" fontId="5" fillId="2" borderId="0" xfId="1" applyNumberFormat="1" applyFont="1" applyFill="1"/>
    <xf numFmtId="14" fontId="6" fillId="0" borderId="0" xfId="0" applyNumberFormat="1" applyFont="1"/>
    <xf numFmtId="165" fontId="4" fillId="0" borderId="0" xfId="1" applyNumberFormat="1" applyFont="1"/>
    <xf numFmtId="43" fontId="0" fillId="0" borderId="0" xfId="2" applyFont="1"/>
    <xf numFmtId="0" fontId="0" fillId="0" borderId="0" xfId="0" applyNumberFormat="1" applyBorder="1" applyAlignment="1">
      <alignment horizontal="center"/>
    </xf>
    <xf numFmtId="165" fontId="0" fillId="0" borderId="11" xfId="0" applyNumberFormat="1" applyBorder="1"/>
    <xf numFmtId="0" fontId="0" fillId="0" borderId="7" xfId="0" applyBorder="1" applyAlignment="1">
      <alignment horizontal="center"/>
    </xf>
    <xf numFmtId="43" fontId="0" fillId="0" borderId="6" xfId="2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43" fontId="0" fillId="0" borderId="8" xfId="2" applyFont="1" applyBorder="1" applyAlignment="1">
      <alignment horizontal="center"/>
    </xf>
    <xf numFmtId="44" fontId="0" fillId="0" borderId="9" xfId="2" applyNumberFormat="1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0" borderId="5" xfId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5" fontId="2" fillId="0" borderId="0" xfId="0" applyNumberFormat="1" applyFont="1"/>
    <xf numFmtId="44" fontId="2" fillId="0" borderId="0" xfId="0" applyNumberFormat="1" applyFont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3" fontId="0" fillId="0" borderId="0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0" fontId="2" fillId="0" borderId="7" xfId="0" applyFont="1" applyBorder="1"/>
    <xf numFmtId="43" fontId="0" fillId="0" borderId="9" xfId="0" applyNumberFormat="1" applyBorder="1"/>
    <xf numFmtId="9" fontId="0" fillId="0" borderId="7" xfId="3" applyFont="1" applyBorder="1"/>
    <xf numFmtId="9" fontId="3" fillId="0" borderId="7" xfId="3" applyFont="1" applyBorder="1"/>
    <xf numFmtId="43" fontId="0" fillId="0" borderId="10" xfId="0" applyNumberFormat="1" applyBorder="1"/>
    <xf numFmtId="0" fontId="0" fillId="0" borderId="3" xfId="0" applyBorder="1"/>
    <xf numFmtId="14" fontId="0" fillId="0" borderId="5" xfId="0" applyNumberFormat="1" applyBorder="1"/>
    <xf numFmtId="44" fontId="0" fillId="0" borderId="9" xfId="1" applyFont="1" applyBorder="1"/>
    <xf numFmtId="44" fontId="0" fillId="0" borderId="10" xfId="1" applyFont="1" applyBorder="1"/>
    <xf numFmtId="0" fontId="2" fillId="0" borderId="6" xfId="0" applyFont="1" applyBorder="1"/>
    <xf numFmtId="0" fontId="2" fillId="0" borderId="8" xfId="0" applyFont="1" applyBorder="1"/>
    <xf numFmtId="10" fontId="0" fillId="0" borderId="7" xfId="3" applyNumberFormat="1" applyFont="1" applyBorder="1" applyAlignment="1">
      <alignment horizontal="center"/>
    </xf>
    <xf numFmtId="0" fontId="2" fillId="0" borderId="0" xfId="0" applyFont="1" applyFill="1" applyBorder="1"/>
    <xf numFmtId="43" fontId="0" fillId="0" borderId="6" xfId="0" applyNumberFormat="1" applyBorder="1"/>
    <xf numFmtId="43" fontId="4" fillId="0" borderId="8" xfId="0" applyNumberFormat="1" applyFont="1" applyBorder="1"/>
    <xf numFmtId="43" fontId="4" fillId="0" borderId="9" xfId="0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3" xfId="2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/>
    <xf numFmtId="0" fontId="2" fillId="3" borderId="0" xfId="0" applyFont="1" applyFill="1" applyAlignment="1">
      <alignment horizontal="center"/>
    </xf>
    <xf numFmtId="0" fontId="2" fillId="3" borderId="12" xfId="0" applyFont="1" applyFill="1" applyBorder="1"/>
    <xf numFmtId="0" fontId="2" fillId="3" borderId="6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10" fontId="2" fillId="4" borderId="0" xfId="0" applyNumberFormat="1" applyFont="1" applyFill="1" applyAlignment="1">
      <alignment horizontal="center"/>
    </xf>
    <xf numFmtId="165" fontId="2" fillId="4" borderId="12" xfId="1" applyNumberFormat="1" applyFont="1" applyFill="1" applyBorder="1" applyAlignment="1">
      <alignment horizontal="center"/>
    </xf>
    <xf numFmtId="43" fontId="2" fillId="4" borderId="6" xfId="2" applyFont="1" applyFill="1" applyBorder="1" applyAlignment="1">
      <alignment horizontal="center"/>
    </xf>
    <xf numFmtId="43" fontId="2" fillId="4" borderId="0" xfId="2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0" xfId="0" applyNumberFormat="1" applyFont="1" applyFill="1" applyAlignment="1">
      <alignment horizontal="center"/>
    </xf>
    <xf numFmtId="44" fontId="2" fillId="4" borderId="0" xfId="2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2" fillId="4" borderId="2" xfId="0" applyNumberFormat="1" applyFont="1" applyFill="1" applyBorder="1" applyAlignment="1">
      <alignment horizontal="center"/>
    </xf>
    <xf numFmtId="165" fontId="2" fillId="4" borderId="13" xfId="1" applyNumberFormat="1" applyFont="1" applyFill="1" applyBorder="1" applyAlignment="1">
      <alignment horizontal="center"/>
    </xf>
    <xf numFmtId="43" fontId="2" fillId="4" borderId="8" xfId="2" applyFont="1" applyFill="1" applyBorder="1" applyAlignment="1">
      <alignment horizontal="center"/>
    </xf>
    <xf numFmtId="44" fontId="2" fillId="4" borderId="9" xfId="2" applyNumberFormat="1" applyFont="1" applyFill="1" applyBorder="1" applyAlignment="1">
      <alignment horizontal="center"/>
    </xf>
    <xf numFmtId="0" fontId="2" fillId="4" borderId="9" xfId="0" applyNumberFormat="1" applyFont="1" applyFill="1" applyBorder="1" applyAlignment="1">
      <alignment horizontal="center"/>
    </xf>
    <xf numFmtId="0" fontId="2" fillId="4" borderId="10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0" xfId="0" applyNumberFormat="1" applyFont="1" applyFill="1" applyBorder="1"/>
    <xf numFmtId="0" fontId="2" fillId="4" borderId="7" xfId="0" applyNumberFormat="1" applyFont="1" applyFill="1" applyBorder="1"/>
    <xf numFmtId="0" fontId="2" fillId="4" borderId="9" xfId="0" applyNumberFormat="1" applyFont="1" applyFill="1" applyBorder="1"/>
    <xf numFmtId="0" fontId="2" fillId="4" borderId="10" xfId="0" applyNumberFormat="1" applyFont="1" applyFill="1" applyBorder="1"/>
    <xf numFmtId="10" fontId="0" fillId="0" borderId="10" xfId="3" applyNumberFormat="1" applyFont="1" applyBorder="1" applyAlignment="1">
      <alignment horizontal="center"/>
    </xf>
  </cellXfs>
  <cellStyles count="6">
    <cellStyle name="Comma" xfId="2" builtinId="3"/>
    <cellStyle name="Currency" xfId="1" builtinId="4"/>
    <cellStyle name="Neutral" xfId="4" builtinId="28"/>
    <cellStyle name="Normal" xfId="0" builtinId="0"/>
    <cellStyle name="Percent" xfId="3" builtinId="5"/>
    <cellStyle name="Style 1" xfId="5" xr:uid="{5112D110-D47B-4CDA-9ABE-9A8CA34C217A}"/>
  </cellStyles>
  <dxfs count="26">
    <dxf>
      <font>
        <b/>
      </font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b/>
      </font>
      <numFmt numFmtId="0" formatCode="General"/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/>
        <right style="medium">
          <color indexed="64"/>
        </right>
        <top/>
        <bottom/>
      </border>
    </dxf>
    <dxf>
      <font>
        <b/>
      </font>
      <numFmt numFmtId="0" formatCode="General"/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b/>
      </font>
      <numFmt numFmtId="0" formatCode="General"/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b/>
      </font>
      <numFmt numFmtId="34" formatCode="_(&quot;$&quot;* #,##0.00_);_(&quot;$&quot;* \(#,##0.00\);_(&quot;$&quot;* &quot;-&quot;??_);_(@_)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bottom" textRotation="0" wrapText="0" indent="0" justifyLastLine="0" shrinkToFit="0" readingOrder="0"/>
    </dxf>
    <dxf>
      <font>
        <b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/>
      </font>
      <numFmt numFmtId="165" formatCode="_(&quot;$&quot;* #,##0_);_(&quot;$&quot;* \(#,##0\);_(&quot;$&quot;* &quot;-&quot;??_);_(@_)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/>
      </font>
      <numFmt numFmtId="14" formatCode="0.00%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bottom" textRotation="0" wrapText="0" indent="0" justifyLastLine="0" shrinkToFit="0" readingOrder="0"/>
    </dxf>
    <dxf>
      <font>
        <b/>
      </font>
      <numFmt numFmtId="14" formatCode="0.00%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bottom" textRotation="0" wrapText="0" indent="0" justifyLastLine="0" shrinkToFit="0" readingOrder="0"/>
    </dxf>
    <dxf>
      <font>
        <b/>
      </font>
      <numFmt numFmtId="0" formatCode="General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bottom" textRotation="0" wrapText="0" indent="0" justifyLastLine="0" shrinkToFit="0" readingOrder="0"/>
    </dxf>
    <dxf>
      <font>
        <b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bottom" textRotation="0" wrapText="0" indent="0" justifyLastLine="0" shrinkToFit="0" readingOrder="0"/>
    </dxf>
    <dxf>
      <font>
        <b/>
      </font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b/>
      </font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b/>
      </font>
      <numFmt numFmtId="0" formatCode="General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/>
      </font>
      <numFmt numFmtId="0" formatCode="General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bottom" textRotation="0" wrapText="0" indent="0" justifyLastLine="0" shrinkToFit="0" readingOrder="0"/>
    </dxf>
    <dxf>
      <font>
        <b/>
      </font>
      <numFmt numFmtId="0" formatCode="General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bottom" textRotation="0" wrapText="0" indent="0" justifyLastLine="0" shrinkToFit="0" readingOrder="0"/>
    </dxf>
    <dxf>
      <font>
        <b/>
      </font>
      <numFmt numFmtId="34" formatCode="_(&quot;$&quot;* #,##0.00_);_(&quot;$&quot;* \(#,##0.00\);_(&quot;$&quot;* &quot;-&quot;??_);_(@_)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bottom" textRotation="0" wrapText="0" indent="0" justifyLastLine="0" shrinkToFit="0" readingOrder="0"/>
    </dxf>
    <dxf>
      <font>
        <b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/>
      </font>
      <numFmt numFmtId="165" formatCode="_(&quot;$&quot;* #,##0_);_(&quot;$&quot;* \(#,##0\);_(&quot;$&quot;* &quot;-&quot;??_);_(@_)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bottom" textRotation="0" wrapText="0" indent="0" justifyLastLine="0" shrinkToFit="0" readingOrder="0"/>
    </dxf>
    <dxf>
      <font>
        <b/>
      </font>
      <numFmt numFmtId="0" formatCode="General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bottom" textRotation="0" wrapText="0" indent="0" justifyLastLine="0" shrinkToFit="0" readingOrder="0"/>
    </dxf>
    <dxf>
      <font>
        <b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bottom" textRotation="0" wrapText="0" indent="0" justifyLastLine="0" shrinkToFit="0" readingOrder="0"/>
    </dxf>
    <dxf>
      <font>
        <b/>
      </font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b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</dxf>
    <dxf>
      <font>
        <b/>
      </font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Indexed Performance MKT CAP</a:t>
            </a:r>
            <a:r>
              <a:rPr lang="en-US" baseline="0"/>
              <a:t> WT</a:t>
            </a:r>
            <a:br>
              <a:rPr lang="en-US" baseline="0"/>
            </a:br>
            <a:r>
              <a:rPr lang="en-US" baseline="0"/>
              <a:t>Dem v. Rep v. SPY    </a:t>
            </a:r>
            <a:br>
              <a:rPr lang="en-US" baseline="0"/>
            </a:br>
            <a:r>
              <a:rPr lang="en-US" baseline="0"/>
              <a:t>Growth of $1,000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792098342989199E-2"/>
          <c:y val="0.16347649458593411"/>
          <c:w val="0.91900590485658629"/>
          <c:h val="0.76533200012468627"/>
        </c:manualLayout>
      </c:layout>
      <c:lineChart>
        <c:grouping val="standard"/>
        <c:varyColors val="0"/>
        <c:ser>
          <c:idx val="0"/>
          <c:order val="0"/>
          <c:tx>
            <c:strRef>
              <c:f>RESULTS!$A$3</c:f>
              <c:strCache>
                <c:ptCount val="1"/>
                <c:pt idx="0">
                  <c:v>DEMS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335078401659681E-2"/>
                  <c:y val="-8.2858369698145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D2-44B2-9114-8D7015DA51A6}"/>
                </c:ext>
              </c:extLst>
            </c:dLbl>
            <c:dLbl>
              <c:idx val="1"/>
              <c:layout>
                <c:manualLayout>
                  <c:x val="-3.6822720000964926E-2"/>
                  <c:y val="-5.5238913132097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3D2-44B2-9114-8D7015DA51A6}"/>
                </c:ext>
              </c:extLst>
            </c:dLbl>
            <c:dLbl>
              <c:idx val="2"/>
              <c:layout>
                <c:manualLayout>
                  <c:x val="-3.9768537601042125E-2"/>
                  <c:y val="-6.1376570146774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D2-44B2-9114-8D7015DA51A6}"/>
                </c:ext>
              </c:extLst>
            </c:dLbl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RESULTS!$B$2:$F$2</c:f>
              <c:numCache>
                <c:formatCode>General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RESULTS!$B$3:$F$3</c:f>
              <c:numCache>
                <c:formatCode>_(* #,##0.00_);_(* \(#,##0.00\);_(* "-"??_);_(@_)</c:formatCode>
                <c:ptCount val="5"/>
                <c:pt idx="0">
                  <c:v>2326.6430849916728</c:v>
                </c:pt>
                <c:pt idx="1">
                  <c:v>1882.5981763270013</c:v>
                </c:pt>
                <c:pt idx="2">
                  <c:v>1378.9854684210925</c:v>
                </c:pt>
                <c:pt idx="3">
                  <c:v>1404.0468333757804</c:v>
                </c:pt>
                <c:pt idx="4">
                  <c:v>1107.4779311624254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2-44B2-9114-8D7015DA51A6}"/>
            </c:ext>
          </c:extLst>
        </c:ser>
        <c:ser>
          <c:idx val="1"/>
          <c:order val="1"/>
          <c:tx>
            <c:strRef>
              <c:f>RESULTS!$A$4</c:f>
              <c:strCache>
                <c:ptCount val="1"/>
                <c:pt idx="0">
                  <c:v>REPUB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8064166402045651E-2"/>
                  <c:y val="-9.2064855220162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D2-44B2-9114-8D7015DA51A6}"/>
                </c:ext>
              </c:extLst>
            </c:dLbl>
            <c:dLbl>
              <c:idx val="1"/>
              <c:layout>
                <c:manualLayout>
                  <c:x val="-5.8916352001543888E-3"/>
                  <c:y val="2.4550628058709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D2-44B2-9114-8D7015DA51A6}"/>
                </c:ext>
              </c:extLst>
            </c:dLbl>
            <c:dLbl>
              <c:idx val="2"/>
              <c:layout>
                <c:manualLayout>
                  <c:x val="1.031036160027018E-2"/>
                  <c:y val="-5.21700846247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D2-44B2-9114-8D7015DA51A6}"/>
                </c:ext>
              </c:extLst>
            </c:dLbl>
            <c:dLbl>
              <c:idx val="3"/>
              <c:layout>
                <c:manualLayout>
                  <c:x val="-1.4729088000385972E-3"/>
                  <c:y val="-6.1376570146774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3D2-44B2-9114-8D7015DA51A6}"/>
                </c:ext>
              </c:extLst>
            </c:dLbl>
            <c:dLbl>
              <c:idx val="4"/>
              <c:layout>
                <c:manualLayout>
                  <c:x val="-2.9458176000772052E-2"/>
                  <c:y val="-4.910125611741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D2-44B2-9114-8D7015DA51A6}"/>
                </c:ext>
              </c:extLst>
            </c:dLbl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RESULTS!$B$2:$F$2</c:f>
              <c:numCache>
                <c:formatCode>General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RESULTS!$B$4:$F$4</c:f>
              <c:numCache>
                <c:formatCode>_(* #,##0.00_);_(* \(#,##0.00\);_(* "-"??_);_(@_)</c:formatCode>
                <c:ptCount val="5"/>
                <c:pt idx="0">
                  <c:v>1635.32302740419</c:v>
                </c:pt>
                <c:pt idx="1">
                  <c:v>1589.7515883642859</c:v>
                </c:pt>
                <c:pt idx="2">
                  <c:v>1263.4676258364466</c:v>
                </c:pt>
                <c:pt idx="3">
                  <c:v>1366.2272158752667</c:v>
                </c:pt>
                <c:pt idx="4">
                  <c:v>1140.3182843755421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2-44B2-9114-8D7015DA51A6}"/>
            </c:ext>
          </c:extLst>
        </c:ser>
        <c:ser>
          <c:idx val="2"/>
          <c:order val="2"/>
          <c:tx>
            <c:strRef>
              <c:f>RESULTS!$A$5</c:f>
              <c:strCache>
                <c:ptCount val="1"/>
                <c:pt idx="0">
                  <c:v>SPY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4729088000385972E-2"/>
                  <c:y val="4.6032427610080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D2-44B2-9114-8D7015DA51A6}"/>
                </c:ext>
              </c:extLst>
            </c:dLbl>
            <c:dLbl>
              <c:idx val="2"/>
              <c:layout>
                <c:manualLayout>
                  <c:x val="0"/>
                  <c:y val="6.1376570146774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D2-44B2-9114-8D7015DA51A6}"/>
                </c:ext>
              </c:extLst>
            </c:dLbl>
            <c:dLbl>
              <c:idx val="3"/>
              <c:layout>
                <c:manualLayout>
                  <c:x val="-1.0801206423824735E-16"/>
                  <c:y val="8.2858369698145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D2-44B2-9114-8D7015DA51A6}"/>
                </c:ext>
              </c:extLst>
            </c:dLbl>
            <c:dLbl>
              <c:idx val="4"/>
              <c:layout>
                <c:manualLayout>
                  <c:x val="-1.4729088000384892E-3"/>
                  <c:y val="5.5238913132097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D2-44B2-9114-8D7015DA51A6}"/>
                </c:ext>
              </c:extLst>
            </c:dLbl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RESULTS!$B$2:$F$2</c:f>
              <c:numCache>
                <c:formatCode>General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RESULTS!$B$5:$F$5</c:f>
              <c:numCache>
                <c:formatCode>_(* #,##0.00_);_(* \(#,##0.00\);_(* "-"??_);_(@_)</c:formatCode>
                <c:ptCount val="5"/>
                <c:pt idx="0">
                  <c:v>1819.9295165032452</c:v>
                </c:pt>
                <c:pt idx="1">
                  <c:v>1537.492199462064</c:v>
                </c:pt>
                <c:pt idx="2">
                  <c:v>1171.6904431200001</c:v>
                </c:pt>
                <c:pt idx="3">
                  <c:v>1227.6723</c:v>
                </c:pt>
                <c:pt idx="4">
                  <c:v>1077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D2-44B2-9114-8D7015DA5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229504"/>
        <c:axId val="1674240320"/>
      </c:lineChart>
      <c:dateAx>
        <c:axId val="167422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240320"/>
        <c:crosses val="autoZero"/>
        <c:auto val="0"/>
        <c:lblOffset val="100"/>
        <c:baseTimeUnit val="days"/>
      </c:dateAx>
      <c:valAx>
        <c:axId val="1674240320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229504"/>
        <c:crosses val="autoZero"/>
        <c:crossBetween val="between"/>
        <c:majorUnit val="250"/>
        <c:minorUnit val="1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885838434198208E-2"/>
          <c:y val="0.3552197994049372"/>
          <c:w val="8.0421052436249141E-2"/>
          <c:h val="0.1553605305642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Indexed Performance EQL</a:t>
            </a:r>
            <a:r>
              <a:rPr lang="en-US" baseline="0"/>
              <a:t> WT</a:t>
            </a:r>
            <a:br>
              <a:rPr lang="en-US" baseline="0"/>
            </a:br>
            <a:r>
              <a:rPr lang="en-US" baseline="0"/>
              <a:t>Dem v. Rep v. SPY    </a:t>
            </a:r>
            <a:br>
              <a:rPr lang="en-US" baseline="0"/>
            </a:br>
            <a:r>
              <a:rPr lang="en-US" baseline="0"/>
              <a:t>Growth of $1,000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737915943066399E-2"/>
          <c:y val="0.16040766607859536"/>
          <c:w val="0.91900590485658629"/>
          <c:h val="0.76533200012468627"/>
        </c:manualLayout>
      </c:layout>
      <c:lineChart>
        <c:grouping val="standard"/>
        <c:varyColors val="0"/>
        <c:ser>
          <c:idx val="0"/>
          <c:order val="0"/>
          <c:tx>
            <c:strRef>
              <c:f>RESULTS!$A$9</c:f>
              <c:strCache>
                <c:ptCount val="1"/>
                <c:pt idx="0">
                  <c:v>DEMS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0"/>
                  <c:y val="-6.7514227161452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09-4785-8FC6-A09B06DC9B5C}"/>
                </c:ext>
              </c:extLst>
            </c:dLbl>
            <c:dLbl>
              <c:idx val="2"/>
              <c:layout>
                <c:manualLayout>
                  <c:x val="-4.5660172801196511E-2"/>
                  <c:y val="-6.4445398654113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09-4785-8FC6-A09B06DC9B5C}"/>
                </c:ext>
              </c:extLst>
            </c:dLbl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RESULTS!$B$8:$F$8</c:f>
              <c:numCache>
                <c:formatCode>General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RESULTS!$B$9:$F$9</c:f>
              <c:numCache>
                <c:formatCode>_(* #,##0.00_);_(* \(#,##0.00\);_(* "-"??_);_(@_)</c:formatCode>
                <c:ptCount val="5"/>
                <c:pt idx="0">
                  <c:v>2393.8170342771773</c:v>
                </c:pt>
                <c:pt idx="1">
                  <c:v>1952.0412388193229</c:v>
                </c:pt>
                <c:pt idx="2">
                  <c:v>1458.7467310659426</c:v>
                </c:pt>
                <c:pt idx="3">
                  <c:v>1464.0846678942326</c:v>
                </c:pt>
                <c:pt idx="4">
                  <c:v>1152.9475931810427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09-4785-8FC6-A09B06DC9B5C}"/>
            </c:ext>
          </c:extLst>
        </c:ser>
        <c:ser>
          <c:idx val="1"/>
          <c:order val="1"/>
          <c:tx>
            <c:strRef>
              <c:f>RESULTS!$A$10</c:f>
              <c:strCache>
                <c:ptCount val="1"/>
                <c:pt idx="0">
                  <c:v>REPUB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660172801196525E-2"/>
                  <c:y val="-8.2858369698145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9-4785-8FC6-A09B06DC9B5C}"/>
                </c:ext>
              </c:extLst>
            </c:dLbl>
            <c:dLbl>
              <c:idx val="1"/>
              <c:layout>
                <c:manualLayout>
                  <c:x val="-9.1320345602393022E-2"/>
                  <c:y val="-3.0688285073387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09-4785-8FC6-A09B06DC9B5C}"/>
                </c:ext>
              </c:extLst>
            </c:dLbl>
            <c:dLbl>
              <c:idx val="2"/>
              <c:layout>
                <c:manualLayout>
                  <c:x val="3.97685376010421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9-4785-8FC6-A09B06DC9B5C}"/>
                </c:ext>
              </c:extLst>
            </c:dLbl>
            <c:dLbl>
              <c:idx val="3"/>
              <c:layout>
                <c:manualLayout>
                  <c:x val="-2.9458176000773024E-3"/>
                  <c:y val="-5.2170084624758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9-4785-8FC6-A09B06DC9B5C}"/>
                </c:ext>
              </c:extLst>
            </c:dLbl>
            <c:dLbl>
              <c:idx val="4"/>
              <c:layout>
                <c:manualLayout>
                  <c:x val="0"/>
                  <c:y val="-3.6825942088064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9-4785-8FC6-A09B06DC9B5C}"/>
                </c:ext>
              </c:extLst>
            </c:dLbl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RESULTS!$B$8:$F$8</c:f>
              <c:numCache>
                <c:formatCode>General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RESULTS!$B$10:$F$10</c:f>
              <c:numCache>
                <c:formatCode>_(* #,##0.00_);_(* \(#,##0.00\);_(* "-"??_);_(@_)</c:formatCode>
                <c:ptCount val="5"/>
                <c:pt idx="0">
                  <c:v>1925.1692916264121</c:v>
                </c:pt>
                <c:pt idx="1">
                  <c:v>1761.1329249633804</c:v>
                </c:pt>
                <c:pt idx="2">
                  <c:v>1346.6741028367289</c:v>
                </c:pt>
                <c:pt idx="3">
                  <c:v>1463.9671165325349</c:v>
                </c:pt>
                <c:pt idx="4">
                  <c:v>1184.706384413091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B09-4785-8FC6-A09B06DC9B5C}"/>
            </c:ext>
          </c:extLst>
        </c:ser>
        <c:ser>
          <c:idx val="2"/>
          <c:order val="2"/>
          <c:tx>
            <c:strRef>
              <c:f>RESULTS!$A$11</c:f>
              <c:strCache>
                <c:ptCount val="1"/>
                <c:pt idx="0">
                  <c:v>SPY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3.3757113580725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9-4785-8FC6-A09B06DC9B5C}"/>
                </c:ext>
              </c:extLst>
            </c:dLbl>
            <c:dLbl>
              <c:idx val="2"/>
              <c:layout>
                <c:manualLayout>
                  <c:x val="-2.9458176000771944E-3"/>
                  <c:y val="7.6720712683468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09-4785-8FC6-A09B06DC9B5C}"/>
                </c:ext>
              </c:extLst>
            </c:dLbl>
            <c:dLbl>
              <c:idx val="3"/>
              <c:layout>
                <c:manualLayout>
                  <c:x val="-4.4187264001157916E-3"/>
                  <c:y val="6.7514227161452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09-4785-8FC6-A09B06DC9B5C}"/>
                </c:ext>
              </c:extLst>
            </c:dLbl>
            <c:dLbl>
              <c:idx val="4"/>
              <c:layout>
                <c:manualLayout>
                  <c:x val="-2.9458176000773024E-3"/>
                  <c:y val="0.131959625815565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09-4785-8FC6-A09B06DC9B5C}"/>
                </c:ext>
              </c:extLst>
            </c:dLbl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RESULTS!$B$8:$F$8</c:f>
              <c:numCache>
                <c:formatCode>General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RESULTS!$B$11:$F$11</c:f>
              <c:numCache>
                <c:formatCode>_(* #,##0.00_);_(* \(#,##0.00\);_(* "-"??_);_(@_)</c:formatCode>
                <c:ptCount val="5"/>
                <c:pt idx="0">
                  <c:v>1819.9295165032452</c:v>
                </c:pt>
                <c:pt idx="1">
                  <c:v>1537.492199462064</c:v>
                </c:pt>
                <c:pt idx="2">
                  <c:v>1171.6904431200001</c:v>
                </c:pt>
                <c:pt idx="3">
                  <c:v>1227.6723</c:v>
                </c:pt>
                <c:pt idx="4">
                  <c:v>1077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B09-4785-8FC6-A09B06DC9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229504"/>
        <c:axId val="1674240320"/>
      </c:lineChart>
      <c:dateAx>
        <c:axId val="167422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240320"/>
        <c:crosses val="autoZero"/>
        <c:auto val="0"/>
        <c:lblOffset val="100"/>
        <c:baseTimeUnit val="days"/>
      </c:dateAx>
      <c:valAx>
        <c:axId val="1674240320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229504"/>
        <c:crosses val="autoZero"/>
        <c:crossBetween val="between"/>
        <c:majorUnit val="250"/>
        <c:min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885838434198208E-2"/>
          <c:y val="0.3552197994049372"/>
          <c:w val="8.0421052436249141E-2"/>
          <c:h val="0.1553605305642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621391</xdr:colOff>
      <xdr:row>0</xdr:row>
      <xdr:rowOff>152398</xdr:rowOff>
    </xdr:from>
    <xdr:to>
      <xdr:col>22</xdr:col>
      <xdr:colOff>480785</xdr:colOff>
      <xdr:row>23</xdr:row>
      <xdr:rowOff>81642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24234C-BE5C-4888-A972-70F4C93F5A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22</xdr:col>
      <xdr:colOff>485322</xdr:colOff>
      <xdr:row>51</xdr:row>
      <xdr:rowOff>146959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96E3153-CF8A-42C9-B147-36EF3C9E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16CD61-7A81-4055-8568-F61FE5C2301D}" name="Table22" displayName="Table22" ref="A3:K214" totalsRowShown="0" headerRowDxfId="25" dataDxfId="12">
  <tableColumns count="11">
    <tableColumn id="1" xr3:uid="{CCD78473-6E36-4467-B7CE-F98C94CD7CAD}" name="Brand" dataDxfId="23"/>
    <tableColumn id="3" xr3:uid="{94B167C3-11B8-416E-A38F-08ABA4B6AED9}" name="Ticker" dataDxfId="22"/>
    <tableColumn id="2" xr3:uid="{9659BE20-7D5A-41F8-B558-5B0565C5FE30}" name="Bloomberg Ticker" dataDxfId="21">
      <calculatedColumnFormula>Table22[[#This Row],[Ticker]]&amp; ( "US EQUITY")</calculatedColumnFormula>
    </tableColumn>
    <tableColumn id="11" xr3:uid="{B8BF1C04-58B8-4C06-96FD-2F7F7F5FF08B}" name="Percent to Democrats" dataDxfId="20"/>
    <tableColumn id="15" xr3:uid="{677BC26B-A377-452A-842F-8DF3511E74D4}" name="Percent to Republicans" dataDxfId="19"/>
    <tableColumn id="8" xr3:uid="{7D33C333-09D9-42E9-B32E-437E8E329FD8}" name="12/31/2015 Market Cap" dataDxfId="18" dataCellStyle="Currency">
      <calculatedColumnFormula>_xlfn.XLOOKUP(Table22[[#This Row],[Ticker]],D!B:B,D!D:D,"not found")</calculatedColumnFormula>
    </tableColumn>
    <tableColumn id="9" xr3:uid="{ED5239F1-7610-46C6-B184-7B06156F5983}" name="2020" dataDxfId="17" dataCellStyle="Comma"/>
    <tableColumn id="10" xr3:uid="{354831BF-EDF7-4832-9F80-C29D1C1409FA}" name="2019" dataDxfId="16" dataCellStyle="Comma"/>
    <tableColumn id="12" xr3:uid="{91166B92-1638-4A3D-BD31-6C61ACE33456}" name="2018" dataDxfId="15"/>
    <tableColumn id="13" xr3:uid="{920073C0-794C-4CA1-9670-BB4513C3641C}" name="2017" dataDxfId="14"/>
    <tableColumn id="14" xr3:uid="{E1010FF7-CAB6-4A07-9C4A-3F0F3D3358D1}" name="2016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B7A5A00-08A2-4F54-B8AD-63E9EABFAF1A}" name="Table225" displayName="Table225" ref="A3:K278" totalsRowShown="0" headerRowDxfId="24" dataDxfId="0">
  <tableColumns count="11">
    <tableColumn id="1" xr3:uid="{DACC9D74-745E-4995-85EF-42FE26D3E2C7}" name="Brand" dataDxfId="11"/>
    <tableColumn id="3" xr3:uid="{FF7E2F7F-17AC-4B43-8315-FFB4692F44F1}" name="Ticker" dataDxfId="10"/>
    <tableColumn id="2" xr3:uid="{59C7F05E-F41A-4042-8522-D2D18ED17691}" name="Bloomberg Ticker" dataDxfId="9">
      <calculatedColumnFormula>Table225[[#This Row],[Ticker]]&amp; ( "US EQUITY")</calculatedColumnFormula>
    </tableColumn>
    <tableColumn id="11" xr3:uid="{589038BE-A1B0-4F2D-9A8E-93AFAA426B65}" name="Percent to Democrats" dataDxfId="8"/>
    <tableColumn id="15" xr3:uid="{EE1D509E-7FE0-403C-AD95-33DE3F2F9E44}" name="Percent to Republicans" dataDxfId="7"/>
    <tableColumn id="8" xr3:uid="{09B6A4B4-BA7C-40D0-B64C-C9D37DEE22C8}" name="12/31/2015 Market Cap" dataDxfId="6" dataCellStyle="Currency">
      <calculatedColumnFormula>_xlfn.XLOOKUP(Table225[[#This Row],[Ticker]],'R'!B:B,'R'!D:D,"not found")</calculatedColumnFormula>
    </tableColumn>
    <tableColumn id="9" xr3:uid="{7D66CFFE-29D4-46A2-B6DB-7F25BB391BD8}" name="2020" dataDxfId="5" dataCellStyle="Comma"/>
    <tableColumn id="10" xr3:uid="{D615B651-2E9A-4542-92AA-6FD8347F8A48}" name="2019" dataDxfId="4" dataCellStyle="Comma"/>
    <tableColumn id="12" xr3:uid="{6BC7F779-D408-4500-8552-A035DB056F63}" name="2018" dataDxfId="3"/>
    <tableColumn id="13" xr3:uid="{D9ABAFDC-C8DB-4494-8D15-171871343E2D}" name="2017" dataDxfId="2"/>
    <tableColumn id="14" xr3:uid="{CF38E2B9-7444-4D03-AE30-C68CD950C01A}" name="2016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11DFC-87B3-4C0A-AC30-F340DB5EF1C8}">
  <sheetPr codeName="Sheet1"/>
  <dimension ref="A1:AB217"/>
  <sheetViews>
    <sheetView zoomScale="70" zoomScaleNormal="70" workbookViewId="0">
      <selection activeCell="D27" sqref="D27"/>
    </sheetView>
  </sheetViews>
  <sheetFormatPr defaultColWidth="8.81640625" defaultRowHeight="14.5" x14ac:dyDescent="0.35"/>
  <cols>
    <col min="1" max="1" width="34.7265625" customWidth="1"/>
    <col min="2" max="2" width="8.81640625" style="1"/>
    <col min="3" max="5" width="24" style="1" customWidth="1"/>
    <col min="6" max="6" width="24.54296875" style="14" customWidth="1"/>
    <col min="7" max="7" width="12.453125" style="2" customWidth="1"/>
    <col min="8" max="8" width="10.26953125" style="2" customWidth="1"/>
    <col min="9" max="9" width="8" style="1" customWidth="1"/>
    <col min="10" max="10" width="7" style="1" customWidth="1"/>
    <col min="11" max="11" width="10" style="1" customWidth="1"/>
    <col min="14" max="14" width="14.54296875" style="1" customWidth="1"/>
    <col min="15" max="15" width="10.81640625" style="1" customWidth="1"/>
    <col min="16" max="16" width="12" style="1" customWidth="1"/>
    <col min="17" max="17" width="13.7265625" style="1" customWidth="1"/>
    <col min="18" max="18" width="11.1796875" style="1" customWidth="1"/>
    <col min="19" max="19" width="14.1796875" style="1" customWidth="1"/>
    <col min="20" max="20" width="13.26953125" customWidth="1"/>
    <col min="22" max="22" width="12.7265625" customWidth="1"/>
    <col min="23" max="23" width="11.26953125" customWidth="1"/>
    <col min="24" max="24" width="12" customWidth="1"/>
    <col min="25" max="26" width="11.81640625" customWidth="1"/>
    <col min="27" max="27" width="11.453125" customWidth="1"/>
    <col min="28" max="28" width="11.1796875" bestFit="1" customWidth="1"/>
  </cols>
  <sheetData>
    <row r="1" spans="1:27" ht="15" thickBot="1" x14ac:dyDescent="0.4"/>
    <row r="2" spans="1:27" x14ac:dyDescent="0.35">
      <c r="F2" s="23"/>
      <c r="G2" s="73" t="s">
        <v>1041</v>
      </c>
      <c r="H2" s="71"/>
      <c r="I2" s="71"/>
      <c r="J2" s="71"/>
      <c r="K2" s="72"/>
      <c r="N2" s="9" t="s">
        <v>1039</v>
      </c>
      <c r="O2" s="73" t="s">
        <v>1043</v>
      </c>
      <c r="P2" s="71"/>
      <c r="Q2" s="71"/>
      <c r="R2" s="71"/>
      <c r="S2" s="72"/>
      <c r="W2" s="73" t="s">
        <v>1044</v>
      </c>
      <c r="X2" s="71"/>
      <c r="Y2" s="71"/>
      <c r="Z2" s="71"/>
      <c r="AA2" s="72"/>
    </row>
    <row r="3" spans="1:27" x14ac:dyDescent="0.35">
      <c r="A3" s="9" t="s">
        <v>0</v>
      </c>
      <c r="B3" s="9" t="s">
        <v>1</v>
      </c>
      <c r="C3" s="9" t="s">
        <v>997</v>
      </c>
      <c r="D3" s="9" t="s">
        <v>1048</v>
      </c>
      <c r="E3" s="9" t="s">
        <v>1049</v>
      </c>
      <c r="F3" s="77" t="s">
        <v>1040</v>
      </c>
      <c r="G3" s="31" t="s">
        <v>1000</v>
      </c>
      <c r="H3" s="32" t="s">
        <v>999</v>
      </c>
      <c r="I3" s="32" t="s">
        <v>998</v>
      </c>
      <c r="J3" s="32" t="s">
        <v>1001</v>
      </c>
      <c r="K3" s="33" t="s">
        <v>1002</v>
      </c>
      <c r="N3" s="9" t="s">
        <v>1042</v>
      </c>
      <c r="O3" s="31" t="str">
        <f>Table22[[#Headers],[2020]]</f>
        <v>2020</v>
      </c>
      <c r="P3" s="32" t="str">
        <f>Table22[[#Headers],[2019]]</f>
        <v>2019</v>
      </c>
      <c r="Q3" s="32" t="str">
        <f>Table22[[#Headers],[2018]]</f>
        <v>2018</v>
      </c>
      <c r="R3" s="32" t="str">
        <f>Table22[[#Headers],[2017]]</f>
        <v>2017</v>
      </c>
      <c r="S3" s="33" t="str">
        <f>Table22[[#Headers],[2016]]</f>
        <v>2016</v>
      </c>
      <c r="V3" s="6" t="s">
        <v>1009</v>
      </c>
      <c r="W3" s="31" t="str">
        <f>O3</f>
        <v>2020</v>
      </c>
      <c r="X3" s="32" t="str">
        <f t="shared" ref="X3:AA3" si="0">P3</f>
        <v>2019</v>
      </c>
      <c r="Y3" s="32" t="str">
        <f t="shared" si="0"/>
        <v>2018</v>
      </c>
      <c r="Z3" s="32" t="str">
        <f t="shared" si="0"/>
        <v>2017</v>
      </c>
      <c r="AA3" s="33" t="str">
        <f t="shared" si="0"/>
        <v>2016</v>
      </c>
    </row>
    <row r="4" spans="1:27" x14ac:dyDescent="0.35">
      <c r="A4" s="83" t="s">
        <v>131</v>
      </c>
      <c r="B4" s="84" t="s">
        <v>635</v>
      </c>
      <c r="C4" s="84" t="str">
        <f>Table22[[#This Row],[Ticker]]&amp; ( "US EQUITY")</f>
        <v>BACUS EQUITY</v>
      </c>
      <c r="D4" s="85">
        <v>0.68125271671958121</v>
      </c>
      <c r="E4" s="85">
        <v>0.31874728328041879</v>
      </c>
      <c r="F4" s="86">
        <f>_xlfn.XLOOKUP(Table22[[#This Row],[Ticker]],D!B:B,D!D:D,"not found")</f>
        <v>174700000000</v>
      </c>
      <c r="G4" s="87">
        <v>-11.62148</v>
      </c>
      <c r="H4" s="88">
        <v>46.164059999999999</v>
      </c>
      <c r="I4" s="89">
        <v>-14.97514</v>
      </c>
      <c r="J4" s="89">
        <v>35.667079999999999</v>
      </c>
      <c r="K4" s="90">
        <v>33.332560000000001</v>
      </c>
      <c r="N4" s="1">
        <f>D!E2</f>
        <v>1.9352805902123255E-2</v>
      </c>
      <c r="O4" s="25">
        <f>N4*Table22[[#This Row],[2020]]</f>
        <v>-0.22490824673540738</v>
      </c>
      <c r="P4" s="16">
        <f>N4*Table22[[#This Row],[2019]]</f>
        <v>0.89340409283397204</v>
      </c>
      <c r="Q4" s="15">
        <f>N4*Table22[[#This Row],[2018]]</f>
        <v>-0.28981097777712206</v>
      </c>
      <c r="R4" s="15">
        <f>N4*Table22[[#This Row],[2017]]</f>
        <v>0.69025807633550229</v>
      </c>
      <c r="S4" s="24">
        <f>N4*Table22[[#This Row],[2016]]</f>
        <v>0.64507856390087759</v>
      </c>
      <c r="V4">
        <f>1/211</f>
        <v>4.7393364928909956E-3</v>
      </c>
      <c r="W4" s="25">
        <f>V4*Table22[[#This Row],[2020]]</f>
        <v>-5.5078104265402848E-2</v>
      </c>
      <c r="X4" s="16">
        <f>V4*Table22[[#This Row],[2019]]</f>
        <v>0.2187870142180095</v>
      </c>
      <c r="Y4" s="15">
        <f>V4*Table22[[#This Row],[2018]]</f>
        <v>-7.0972227488151657E-2</v>
      </c>
      <c r="Z4" s="15">
        <f>V4*Table22[[#This Row],[2017]]</f>
        <v>0.16903829383886257</v>
      </c>
      <c r="AA4" s="24">
        <f>V4*Table22[[#This Row],[2016]]</f>
        <v>0.1579742180094787</v>
      </c>
    </row>
    <row r="5" spans="1:27" x14ac:dyDescent="0.35">
      <c r="A5" s="83" t="s">
        <v>97</v>
      </c>
      <c r="B5" s="84" t="s">
        <v>601</v>
      </c>
      <c r="C5" s="84" t="str">
        <f>Table22[[#This Row],[Ticker]]&amp; ( "US EQUITY")</f>
        <v>GOOGLUS EQUITY</v>
      </c>
      <c r="D5" s="85">
        <v>0.81225823068574676</v>
      </c>
      <c r="E5" s="85">
        <v>0.18774176931425321</v>
      </c>
      <c r="F5" s="86">
        <f>_xlfn.XLOOKUP(Table22[[#This Row],[Ticker]],D!B:B,D!D:D,"not found")</f>
        <v>528169999999.99994</v>
      </c>
      <c r="G5" s="87">
        <v>30.853580000000001</v>
      </c>
      <c r="H5" s="88">
        <v>28.176189999999998</v>
      </c>
      <c r="I5" s="89">
        <v>-0.80119370000000001</v>
      </c>
      <c r="J5" s="89">
        <v>32.929499999999997</v>
      </c>
      <c r="K5" s="90">
        <v>1.8560289999999999</v>
      </c>
      <c r="N5" s="1">
        <f>D!E3</f>
        <v>5.8509281587432384E-2</v>
      </c>
      <c r="O5" s="25">
        <f>N5*Table22[[#This Row],[2020]]</f>
        <v>1.805220800200372</v>
      </c>
      <c r="P5" s="16">
        <f>N5*Table22[[#This Row],[2019]]</f>
        <v>1.6485686347709965</v>
      </c>
      <c r="Q5" s="15">
        <f>N5*Table22[[#This Row],[2018]]</f>
        <v>-4.6877267799376829E-2</v>
      </c>
      <c r="R5" s="15">
        <f>N5*Table22[[#This Row],[2017]]</f>
        <v>1.9266813880333544</v>
      </c>
      <c r="S5" s="24">
        <f>N5*Table22[[#This Row],[2016]]</f>
        <v>0.10859492339544054</v>
      </c>
      <c r="V5">
        <f t="shared" ref="V5:V68" si="1">1/211</f>
        <v>4.7393364928909956E-3</v>
      </c>
      <c r="W5" s="25">
        <f>V5*Table22[[#This Row],[2020]]</f>
        <v>0.14622549763033177</v>
      </c>
      <c r="X5" s="16">
        <f>V5*Table22[[#This Row],[2019]]</f>
        <v>0.13353644549763033</v>
      </c>
      <c r="Y5" s="15">
        <f>V5*Table22[[#This Row],[2018]]</f>
        <v>-3.7971265402843607E-3</v>
      </c>
      <c r="Z5" s="15">
        <f>V5*Table22[[#This Row],[2017]]</f>
        <v>0.15606398104265404</v>
      </c>
      <c r="AA5" s="24">
        <f>V5*Table22[[#This Row],[2016]]</f>
        <v>8.7963459715639809E-3</v>
      </c>
    </row>
    <row r="6" spans="1:27" x14ac:dyDescent="0.35">
      <c r="A6" s="83" t="s">
        <v>181</v>
      </c>
      <c r="B6" s="84" t="s">
        <v>685</v>
      </c>
      <c r="C6" s="84" t="str">
        <f>Table22[[#This Row],[Ticker]]&amp; ( "US EQUITY")</f>
        <v>CMCSAUS EQUITY</v>
      </c>
      <c r="D6" s="85">
        <v>0.62093342594741407</v>
      </c>
      <c r="E6" s="85">
        <v>0.37906657405258598</v>
      </c>
      <c r="F6" s="86">
        <f>_xlfn.XLOOKUP(Table22[[#This Row],[Ticker]],D!B:B,D!D:D,"not found")</f>
        <v>137560000000</v>
      </c>
      <c r="G6" s="87">
        <v>19.15785</v>
      </c>
      <c r="H6" s="88">
        <v>34.042870000000001</v>
      </c>
      <c r="I6" s="89">
        <v>-12.73546</v>
      </c>
      <c r="J6" s="89">
        <v>17.44171</v>
      </c>
      <c r="K6" s="90">
        <v>24.995090000000001</v>
      </c>
      <c r="N6" s="1">
        <f>D!E4</f>
        <v>1.5238534515718802E-2</v>
      </c>
      <c r="O6" s="25">
        <f>N6*Table22[[#This Row],[2020]]</f>
        <v>0.29193755847196345</v>
      </c>
      <c r="P6" s="16">
        <f>N6*Table22[[#This Row],[2019]]</f>
        <v>0.51876344950912812</v>
      </c>
      <c r="Q6" s="15">
        <f>N6*Table22[[#This Row],[2018]]</f>
        <v>-0.19406974678355618</v>
      </c>
      <c r="R6" s="15">
        <f>N6*Table22[[#This Row],[2017]]</f>
        <v>0.26578609984815782</v>
      </c>
      <c r="S6" s="24">
        <f>N6*Table22[[#This Row],[2016]]</f>
        <v>0.38088854168849789</v>
      </c>
      <c r="V6">
        <f t="shared" si="1"/>
        <v>4.7393364928909956E-3</v>
      </c>
      <c r="W6" s="25">
        <f>V6*Table22[[#This Row],[2020]]</f>
        <v>9.0795497630331762E-2</v>
      </c>
      <c r="X6" s="16">
        <f>V6*Table22[[#This Row],[2019]]</f>
        <v>0.16134061611374409</v>
      </c>
      <c r="Y6" s="15">
        <f>V6*Table22[[#This Row],[2018]]</f>
        <v>-6.0357630331753558E-2</v>
      </c>
      <c r="Z6" s="15">
        <f>V6*Table22[[#This Row],[2017]]</f>
        <v>8.2662132701421809E-2</v>
      </c>
      <c r="AA6" s="24">
        <f>V6*Table22[[#This Row],[2016]]</f>
        <v>0.1184601421800948</v>
      </c>
    </row>
    <row r="7" spans="1:27" x14ac:dyDescent="0.35">
      <c r="A7" s="83" t="s">
        <v>240</v>
      </c>
      <c r="B7" s="84" t="s">
        <v>740</v>
      </c>
      <c r="C7" s="84" t="str">
        <f>Table22[[#This Row],[Ticker]]&amp; ( "US EQUITY")</f>
        <v>FBUS EQUITY</v>
      </c>
      <c r="D7" s="85">
        <v>0.84790718869728054</v>
      </c>
      <c r="E7" s="85">
        <v>0.15209281130271951</v>
      </c>
      <c r="F7" s="86">
        <f>_xlfn.XLOOKUP(Table22[[#This Row],[Ticker]],D!B:B,D!D:D,"not found")</f>
        <v>296610000000</v>
      </c>
      <c r="G7" s="87">
        <v>33.086489999999998</v>
      </c>
      <c r="H7" s="88">
        <v>56.571800000000003</v>
      </c>
      <c r="I7" s="89">
        <v>-25.711200000000002</v>
      </c>
      <c r="J7" s="89">
        <v>53.376779999999997</v>
      </c>
      <c r="K7" s="90">
        <v>9.9273799999999994</v>
      </c>
      <c r="N7" s="1">
        <f>D!E5</f>
        <v>3.2857674634394839E-2</v>
      </c>
      <c r="O7" s="25">
        <f>N7*Table22[[#This Row],[2020]]</f>
        <v>1.0871451232141585</v>
      </c>
      <c r="P7" s="16">
        <f>N7*Table22[[#This Row],[2019]]</f>
        <v>1.8588177978820581</v>
      </c>
      <c r="Q7" s="15">
        <f>N7*Table22[[#This Row],[2018]]</f>
        <v>-0.84481024405985261</v>
      </c>
      <c r="R7" s="15">
        <f>N7*Table22[[#This Row],[2017]]</f>
        <v>1.7538368702716736</v>
      </c>
      <c r="S7" s="24">
        <f>N7*Table22[[#This Row],[2016]]</f>
        <v>0.32619062201199861</v>
      </c>
      <c r="V7">
        <f t="shared" si="1"/>
        <v>4.7393364928909956E-3</v>
      </c>
      <c r="W7" s="25">
        <f>V7*Table22[[#This Row],[2020]]</f>
        <v>0.15680800947867299</v>
      </c>
      <c r="X7" s="16">
        <f>V7*Table22[[#This Row],[2019]]</f>
        <v>0.26811279620853085</v>
      </c>
      <c r="Y7" s="15">
        <f>V7*Table22[[#This Row],[2018]]</f>
        <v>-0.12185402843601897</v>
      </c>
      <c r="Z7" s="15">
        <f>V7*Table22[[#This Row],[2017]]</f>
        <v>0.2529705213270142</v>
      </c>
      <c r="AA7" s="24">
        <f>V7*Table22[[#This Row],[2016]]</f>
        <v>4.7049194312796208E-2</v>
      </c>
    </row>
    <row r="8" spans="1:27" x14ac:dyDescent="0.35">
      <c r="A8" s="83" t="s">
        <v>346</v>
      </c>
      <c r="B8" s="84" t="s">
        <v>843</v>
      </c>
      <c r="C8" s="84" t="str">
        <f>Table22[[#This Row],[Ticker]]&amp; ( "US EQUITY")</f>
        <v>MSFTUS EQUITY</v>
      </c>
      <c r="D8" s="85">
        <v>0.67453727750016002</v>
      </c>
      <c r="E8" s="85">
        <v>0.32546272249984004</v>
      </c>
      <c r="F8" s="86">
        <f>_xlfn.XLOOKUP(Table22[[#This Row],[Ticker]],D!B:B,D!D:D,"not found")</f>
        <v>439680000000</v>
      </c>
      <c r="G8" s="87">
        <v>42.534550000000003</v>
      </c>
      <c r="H8" s="88">
        <v>57.570689999999999</v>
      </c>
      <c r="I8" s="89">
        <v>20.79908</v>
      </c>
      <c r="J8" s="89">
        <v>40.716929999999998</v>
      </c>
      <c r="K8" s="90">
        <v>15.06671</v>
      </c>
      <c r="N8" s="1">
        <f>D!E6</f>
        <v>4.8706592438726687E-2</v>
      </c>
      <c r="O8" s="25">
        <f>N8*Table22[[#This Row],[2020]]</f>
        <v>2.0717129914146422</v>
      </c>
      <c r="P8" s="16">
        <f>N8*Table22[[#This Row],[2019]]</f>
        <v>2.8040721342462782</v>
      </c>
      <c r="Q8" s="15">
        <f>N8*Table22[[#This Row],[2018]]</f>
        <v>1.0130523126604714</v>
      </c>
      <c r="R8" s="15">
        <f>N8*Table22[[#This Row],[2017]]</f>
        <v>1.9831829148661637</v>
      </c>
      <c r="S8" s="24">
        <f>N8*Table22[[#This Row],[2016]]</f>
        <v>0.73384810336248774</v>
      </c>
      <c r="V8">
        <f t="shared" si="1"/>
        <v>4.7393364928909956E-3</v>
      </c>
      <c r="W8" s="25">
        <f>V8*Table22[[#This Row],[2020]]</f>
        <v>0.20158554502369672</v>
      </c>
      <c r="X8" s="16">
        <f>V8*Table22[[#This Row],[2019]]</f>
        <v>0.27284687203791469</v>
      </c>
      <c r="Y8" s="15">
        <f>V8*Table22[[#This Row],[2018]]</f>
        <v>9.8573838862559243E-2</v>
      </c>
      <c r="Z8" s="15">
        <f>V8*Table22[[#This Row],[2017]]</f>
        <v>0.19297123222748816</v>
      </c>
      <c r="AA8" s="24">
        <f>V8*Table22[[#This Row],[2016]]</f>
        <v>7.140620853080569E-2</v>
      </c>
    </row>
    <row r="9" spans="1:27" x14ac:dyDescent="0.35">
      <c r="A9" s="83" t="s">
        <v>113</v>
      </c>
      <c r="B9" s="84" t="s">
        <v>617</v>
      </c>
      <c r="C9" s="84" t="str">
        <f>Table22[[#This Row],[Ticker]]&amp; ( "US EQUITY")</f>
        <v>ANTMUS EQUITY</v>
      </c>
      <c r="D9" s="85">
        <v>0.53706501115125027</v>
      </c>
      <c r="E9" s="85">
        <v>0.46293498884874973</v>
      </c>
      <c r="F9" s="86">
        <f>_xlfn.XLOOKUP(Table22[[#This Row],[Ticker]],D!B:B,D!D:D,"not found")</f>
        <v>36430000000</v>
      </c>
      <c r="G9" s="87">
        <v>7.7283739999999996</v>
      </c>
      <c r="H9" s="88">
        <v>16.329689999999999</v>
      </c>
      <c r="I9" s="89">
        <v>18.110109999999999</v>
      </c>
      <c r="J9" s="89">
        <v>58.728650000000002</v>
      </c>
      <c r="K9" s="90">
        <v>5.1193119999999999</v>
      </c>
      <c r="N9" s="1">
        <f>D!E7</f>
        <v>4.0356194562927881E-3</v>
      </c>
      <c r="O9" s="25">
        <f>N9*Table22[[#This Row],[2020]]</f>
        <v>3.118877647990732E-2</v>
      </c>
      <c r="P9" s="16">
        <f>N9*Table22[[#This Row],[2019]]</f>
        <v>6.5900414679229774E-2</v>
      </c>
      <c r="Q9" s="15">
        <f>N9*Table22[[#This Row],[2018]]</f>
        <v>7.3085512271602579E-2</v>
      </c>
      <c r="R9" s="15">
        <f>N9*Table22[[#This Row],[2017]]</f>
        <v>0.23700648258180945</v>
      </c>
      <c r="S9" s="24">
        <f>N9*Table22[[#This Row],[2016]]</f>
        <v>2.0659595110033145E-2</v>
      </c>
      <c r="V9">
        <f t="shared" si="1"/>
        <v>4.7393364928909956E-3</v>
      </c>
      <c r="W9" s="25">
        <f>V9*Table22[[#This Row],[2020]]</f>
        <v>3.6627364928909951E-2</v>
      </c>
      <c r="X9" s="16">
        <f>V9*Table22[[#This Row],[2019]]</f>
        <v>7.7391895734597163E-2</v>
      </c>
      <c r="Y9" s="15">
        <f>V9*Table22[[#This Row],[2018]]</f>
        <v>8.582990521327015E-2</v>
      </c>
      <c r="Z9" s="15">
        <f>V9*Table22[[#This Row],[2017]]</f>
        <v>0.2783348341232228</v>
      </c>
      <c r="AA9" s="24">
        <f>V9*Table22[[#This Row],[2016]]</f>
        <v>2.4262142180094787E-2</v>
      </c>
    </row>
    <row r="10" spans="1:27" x14ac:dyDescent="0.35">
      <c r="A10" s="83" t="s">
        <v>266</v>
      </c>
      <c r="B10" s="84" t="s">
        <v>764</v>
      </c>
      <c r="C10" s="84" t="str">
        <f>Table22[[#This Row],[Ticker]]&amp; ( "US EQUITY")</f>
        <v>GSUS EQUITY</v>
      </c>
      <c r="D10" s="85">
        <v>0.52779778476072126</v>
      </c>
      <c r="E10" s="85">
        <v>0.47220221523927874</v>
      </c>
      <c r="F10" s="86">
        <f>_xlfn.XLOOKUP(Table22[[#This Row],[Ticker]],D!B:B,D!D:D,"not found")</f>
        <v>75600000000</v>
      </c>
      <c r="G10" s="87">
        <v>17.47766</v>
      </c>
      <c r="H10" s="88">
        <v>40.46367</v>
      </c>
      <c r="I10" s="89">
        <v>-33.521369999999997</v>
      </c>
      <c r="J10" s="89">
        <v>7.7376129999999996</v>
      </c>
      <c r="K10" s="90">
        <v>34.906260000000003</v>
      </c>
      <c r="N10" s="1">
        <f>D!E8</f>
        <v>8.3747688963967826E-3</v>
      </c>
      <c r="O10" s="25">
        <f>N10*Table22[[#This Row],[2020]]</f>
        <v>0.14637136334979819</v>
      </c>
      <c r="P10" s="16">
        <f>N10*Table22[[#This Row],[2019]]</f>
        <v>0.3388738849500636</v>
      </c>
      <c r="Q10" s="15">
        <f>N10*Table22[[#This Row],[2018]]</f>
        <v>-0.28073372684060821</v>
      </c>
      <c r="R10" s="15">
        <f>N10*Table22[[#This Row],[2017]]</f>
        <v>6.4800720684755397E-2</v>
      </c>
      <c r="S10" s="24">
        <f>N10*Table22[[#This Row],[2016]]</f>
        <v>0.29233186053753918</v>
      </c>
      <c r="V10">
        <f t="shared" si="1"/>
        <v>4.7393364928909956E-3</v>
      </c>
      <c r="W10" s="25">
        <f>V10*Table22[[#This Row],[2020]]</f>
        <v>8.2832511848341242E-2</v>
      </c>
      <c r="X10" s="16">
        <f>V10*Table22[[#This Row],[2019]]</f>
        <v>0.19177094786729859</v>
      </c>
      <c r="Y10" s="15">
        <f>V10*Table22[[#This Row],[2018]]</f>
        <v>-0.15886905213270142</v>
      </c>
      <c r="Z10" s="15">
        <f>V10*Table22[[#This Row],[2017]]</f>
        <v>3.6671151658767775E-2</v>
      </c>
      <c r="AA10" s="24">
        <f>V10*Table22[[#This Row],[2016]]</f>
        <v>0.16543251184834126</v>
      </c>
    </row>
    <row r="11" spans="1:27" x14ac:dyDescent="0.35">
      <c r="A11" s="83" t="s">
        <v>490</v>
      </c>
      <c r="B11" s="84" t="s">
        <v>974</v>
      </c>
      <c r="C11" s="84" t="str">
        <f>Table22[[#This Row],[Ticker]]&amp; ( "US EQUITY")</f>
        <v>DISUS EQUITY</v>
      </c>
      <c r="D11" s="85">
        <v>0.85524316045103765</v>
      </c>
      <c r="E11" s="85">
        <v>0.1447568395489624</v>
      </c>
      <c r="F11" s="86">
        <f>_xlfn.XLOOKUP(Table22[[#This Row],[Ticker]],D!B:B,D!D:D,"not found")</f>
        <v>173720000000</v>
      </c>
      <c r="G11" s="87">
        <v>25.27139</v>
      </c>
      <c r="H11" s="88">
        <v>33.514240000000001</v>
      </c>
      <c r="I11" s="89">
        <v>3.6160830000000002</v>
      </c>
      <c r="J11" s="89">
        <v>4.7729609999999996</v>
      </c>
      <c r="K11" s="90">
        <v>0.65087079999999997</v>
      </c>
      <c r="N11" s="1">
        <f>D!E9</f>
        <v>1.9244244083095888E-2</v>
      </c>
      <c r="O11" s="25">
        <f>N11*Table22[[#This Row],[2020]]</f>
        <v>0.48632879747910862</v>
      </c>
      <c r="P11" s="16">
        <f>N11*Table22[[#This Row],[2019]]</f>
        <v>0.64495621481945553</v>
      </c>
      <c r="Q11" s="15">
        <f>N11*Table22[[#This Row],[2018]]</f>
        <v>6.9588783876733631E-2</v>
      </c>
      <c r="R11" s="15">
        <f>N11*Table22[[#This Row],[2017]]</f>
        <v>9.1852026483097426E-2</v>
      </c>
      <c r="S11" s="24">
        <f>N11*Table22[[#This Row],[2016]]</f>
        <v>1.2525516541759887E-2</v>
      </c>
      <c r="V11">
        <f t="shared" si="1"/>
        <v>4.7393364928909956E-3</v>
      </c>
      <c r="W11" s="25">
        <f>V11*Table22[[#This Row],[2020]]</f>
        <v>0.11976962085308059</v>
      </c>
      <c r="X11" s="16">
        <f>V11*Table22[[#This Row],[2019]]</f>
        <v>0.15883526066350712</v>
      </c>
      <c r="Y11" s="15">
        <f>V11*Table22[[#This Row],[2018]]</f>
        <v>1.7137834123222753E-2</v>
      </c>
      <c r="Z11" s="15">
        <f>V11*Table22[[#This Row],[2017]]</f>
        <v>2.2620668246445496E-2</v>
      </c>
      <c r="AA11" s="24">
        <f>V11*Table22[[#This Row],[2016]]</f>
        <v>3.0846957345971567E-3</v>
      </c>
    </row>
    <row r="12" spans="1:27" x14ac:dyDescent="0.35">
      <c r="A12" s="83" t="s">
        <v>99</v>
      </c>
      <c r="B12" s="84" t="s">
        <v>603</v>
      </c>
      <c r="C12" s="84" t="str">
        <f>Table22[[#This Row],[Ticker]]&amp; ( "US EQUITY")</f>
        <v>AMZNUS EQUITY</v>
      </c>
      <c r="D12" s="85">
        <v>0.68981971519596574</v>
      </c>
      <c r="E12" s="85">
        <v>0.3101802848040342</v>
      </c>
      <c r="F12" s="86">
        <f>_xlfn.XLOOKUP(Table22[[#This Row],[Ticker]],D!B:B,D!D:D,"not found")</f>
        <v>318340000000</v>
      </c>
      <c r="G12" s="87">
        <v>76.256060000000005</v>
      </c>
      <c r="H12" s="88">
        <v>23.02778</v>
      </c>
      <c r="I12" s="89">
        <v>28.43169</v>
      </c>
      <c r="J12" s="89">
        <v>55.956359999999997</v>
      </c>
      <c r="K12" s="90">
        <v>10.94557</v>
      </c>
      <c r="N12" s="1">
        <f>D!E10</f>
        <v>3.5264866805277142E-2</v>
      </c>
      <c r="O12" s="25">
        <f>N12*Table22[[#This Row],[2020]]</f>
        <v>2.6891597989952221</v>
      </c>
      <c r="P12" s="16">
        <f>N12*Table22[[#This Row],[2019]]</f>
        <v>0.8120715945212249</v>
      </c>
      <c r="Q12" s="15">
        <f>N12*Table22[[#This Row],[2018]]</f>
        <v>1.0026397608989301</v>
      </c>
      <c r="R12" s="15">
        <f>N12*Table22[[#This Row],[2017]]</f>
        <v>1.9732935823081375</v>
      </c>
      <c r="S12" s="24">
        <f>N12*Table22[[#This Row],[2016]]</f>
        <v>0.38599406815783732</v>
      </c>
      <c r="V12">
        <f t="shared" si="1"/>
        <v>4.7393364928909956E-3</v>
      </c>
      <c r="W12" s="25">
        <f>V12*Table22[[#This Row],[2020]]</f>
        <v>0.36140312796208535</v>
      </c>
      <c r="X12" s="16">
        <f>V12*Table22[[#This Row],[2019]]</f>
        <v>0.10913639810426541</v>
      </c>
      <c r="Y12" s="15">
        <f>V12*Table22[[#This Row],[2018]]</f>
        <v>0.13474734597156399</v>
      </c>
      <c r="Z12" s="15">
        <f>V12*Table22[[#This Row],[2017]]</f>
        <v>0.26519601895734596</v>
      </c>
      <c r="AA12" s="24">
        <f>V12*Table22[[#This Row],[2016]]</f>
        <v>5.1874739336492892E-2</v>
      </c>
    </row>
    <row r="13" spans="1:27" x14ac:dyDescent="0.35">
      <c r="A13" s="83" t="s">
        <v>357</v>
      </c>
      <c r="B13" s="84" t="s">
        <v>853</v>
      </c>
      <c r="C13" s="84" t="str">
        <f>Table22[[#This Row],[Ticker]]&amp; ( "US EQUITY")</f>
        <v>NFLXUS EQUITY</v>
      </c>
      <c r="D13" s="85">
        <v>0.99326025715024358</v>
      </c>
      <c r="E13" s="85">
        <v>6.7397428497564752E-3</v>
      </c>
      <c r="F13" s="86">
        <f>_xlfn.XLOOKUP(Table22[[#This Row],[Ticker]],D!B:B,D!D:D,"not found")</f>
        <v>48950000000</v>
      </c>
      <c r="G13" s="87">
        <v>67.113789999999995</v>
      </c>
      <c r="H13" s="88">
        <v>20.888459999999998</v>
      </c>
      <c r="I13" s="89">
        <v>39.435299999999998</v>
      </c>
      <c r="J13" s="89">
        <v>55.056539999999998</v>
      </c>
      <c r="K13" s="90">
        <v>8.2357289999999992</v>
      </c>
      <c r="N13" s="1">
        <f>D!E11</f>
        <v>5.4225520830505627E-3</v>
      </c>
      <c r="O13" s="25">
        <f>N13*Table22[[#This Row],[2020]]</f>
        <v>0.36392802176591799</v>
      </c>
      <c r="P13" s="16">
        <f>N13*Table22[[#This Row],[2019]]</f>
        <v>0.11326876228471836</v>
      </c>
      <c r="Q13" s="15">
        <f>N13*Table22[[#This Row],[2018]]</f>
        <v>0.21383996816072384</v>
      </c>
      <c r="R13" s="15">
        <f>N13*Table22[[#This Row],[2017]]</f>
        <v>0.29854695566255662</v>
      </c>
      <c r="S13" s="24">
        <f>N13*Table22[[#This Row],[2016]]</f>
        <v>4.4658669444389926E-2</v>
      </c>
      <c r="V13">
        <f t="shared" si="1"/>
        <v>4.7393364928909956E-3</v>
      </c>
      <c r="W13" s="25">
        <f>V13*Table22[[#This Row],[2020]]</f>
        <v>0.31807483412322274</v>
      </c>
      <c r="X13" s="16">
        <f>V13*Table22[[#This Row],[2019]]</f>
        <v>9.8997440758293836E-2</v>
      </c>
      <c r="Y13" s="15">
        <f>V13*Table22[[#This Row],[2018]]</f>
        <v>0.18689715639810428</v>
      </c>
      <c r="Z13" s="15">
        <f>V13*Table22[[#This Row],[2017]]</f>
        <v>0.26093146919431282</v>
      </c>
      <c r="AA13" s="24">
        <f>V13*Table22[[#This Row],[2016]]</f>
        <v>3.9031890995260665E-2</v>
      </c>
    </row>
    <row r="14" spans="1:27" x14ac:dyDescent="0.35">
      <c r="A14" s="83" t="s">
        <v>235</v>
      </c>
      <c r="B14" s="84" t="s">
        <v>735</v>
      </c>
      <c r="C14" s="84" t="str">
        <f>Table22[[#This Row],[Ticker]]&amp; ( "US EQUITY")</f>
        <v>EXCUS EQUITY</v>
      </c>
      <c r="D14" s="85">
        <v>0.55688680751142405</v>
      </c>
      <c r="E14" s="85">
        <v>0.44311319248857589</v>
      </c>
      <c r="F14" s="86">
        <f>_xlfn.XLOOKUP(Table22[[#This Row],[Ticker]],D!B:B,D!D:D,"not found")</f>
        <v>25550000000</v>
      </c>
      <c r="G14" s="87">
        <v>-3.8886310000000002</v>
      </c>
      <c r="H14" s="88">
        <v>4.2777659999999997</v>
      </c>
      <c r="I14" s="89">
        <v>18.327739999999999</v>
      </c>
      <c r="J14" s="89">
        <v>15.04766</v>
      </c>
      <c r="K14" s="90">
        <v>32.808340000000001</v>
      </c>
      <c r="N14" s="1">
        <f>D!E12</f>
        <v>2.8303617103563202E-3</v>
      </c>
      <c r="O14" s="25">
        <f>N14*Table22[[#This Row],[2020]]</f>
        <v>-1.1006232288104609E-2</v>
      </c>
      <c r="P14" s="16">
        <f>N14*Table22[[#This Row],[2019]]</f>
        <v>1.2107625092264113E-2</v>
      </c>
      <c r="Q14" s="15">
        <f>N14*Table22[[#This Row],[2018]]</f>
        <v>5.1874133533365938E-2</v>
      </c>
      <c r="R14" s="15">
        <f>N14*Table22[[#This Row],[2017]]</f>
        <v>4.2590320694460386E-2</v>
      </c>
      <c r="S14" s="24">
        <f>N14*Table22[[#This Row],[2016]]</f>
        <v>9.2859469316351681E-2</v>
      </c>
      <c r="V14">
        <f t="shared" si="1"/>
        <v>4.7393364928909956E-3</v>
      </c>
      <c r="W14" s="25">
        <f>V14*Table22[[#This Row],[2020]]</f>
        <v>-1.8429530805687207E-2</v>
      </c>
      <c r="X14" s="16">
        <f>V14*Table22[[#This Row],[2019]]</f>
        <v>2.027377251184834E-2</v>
      </c>
      <c r="Y14" s="15">
        <f>V14*Table22[[#This Row],[2018]]</f>
        <v>8.6861327014218004E-2</v>
      </c>
      <c r="Z14" s="15">
        <f>V14*Table22[[#This Row],[2017]]</f>
        <v>7.1315924170616121E-2</v>
      </c>
      <c r="AA14" s="24">
        <f>V14*Table22[[#This Row],[2016]]</f>
        <v>0.15548976303317538</v>
      </c>
    </row>
    <row r="15" spans="1:27" x14ac:dyDescent="0.35">
      <c r="A15" s="83" t="s">
        <v>305</v>
      </c>
      <c r="B15" s="84" t="s">
        <v>802</v>
      </c>
      <c r="C15" s="84" t="str">
        <f>Table22[[#This Row],[Ticker]]&amp; ( "US EQUITY")</f>
        <v>JPMUS EQUITY</v>
      </c>
      <c r="D15" s="85">
        <v>0.55184560452129983</v>
      </c>
      <c r="E15" s="85">
        <v>0.44815439547870017</v>
      </c>
      <c r="F15" s="86">
        <f>_xlfn.XLOOKUP(Table22[[#This Row],[Ticker]],D!B:B,D!D:D,"not found")</f>
        <v>241900000000</v>
      </c>
      <c r="G15" s="87">
        <v>-5.5180730000000002</v>
      </c>
      <c r="H15" s="88">
        <v>47.266759999999998</v>
      </c>
      <c r="I15" s="89">
        <v>-6.6457930000000003</v>
      </c>
      <c r="J15" s="89">
        <v>26.731439999999999</v>
      </c>
      <c r="K15" s="90">
        <v>34.566490000000002</v>
      </c>
      <c r="N15" s="1">
        <f>D!E13</f>
        <v>2.6797044921142616E-2</v>
      </c>
      <c r="O15" s="25">
        <f>N15*Table22[[#This Row],[2020]]</f>
        <v>-0.14786805005914422</v>
      </c>
      <c r="P15" s="16">
        <f>N15*Table22[[#This Row],[2019]]</f>
        <v>1.2666094909968668</v>
      </c>
      <c r="Q15" s="15">
        <f>N15*Table22[[#This Row],[2018]]</f>
        <v>-0.17808761355761515</v>
      </c>
      <c r="R15" s="15">
        <f>N15*Table22[[#This Row],[2017]]</f>
        <v>0.71632359848682858</v>
      </c>
      <c r="S15" s="24">
        <f>N15*Table22[[#This Row],[2016]]</f>
        <v>0.92627978529622712</v>
      </c>
      <c r="V15">
        <f t="shared" si="1"/>
        <v>4.7393364928909956E-3</v>
      </c>
      <c r="W15" s="25">
        <f>V15*Table22[[#This Row],[2020]]</f>
        <v>-2.6152004739336494E-2</v>
      </c>
      <c r="X15" s="16">
        <f>V15*Table22[[#This Row],[2019]]</f>
        <v>0.22401308056872038</v>
      </c>
      <c r="Y15" s="15">
        <f>V15*Table22[[#This Row],[2018]]</f>
        <v>-3.1496649289099531E-2</v>
      </c>
      <c r="Z15" s="15">
        <f>V15*Table22[[#This Row],[2017]]</f>
        <v>0.12668928909952606</v>
      </c>
      <c r="AA15" s="24">
        <f>V15*Table22[[#This Row],[2016]]</f>
        <v>0.16382222748815167</v>
      </c>
    </row>
    <row r="16" spans="1:27" x14ac:dyDescent="0.35">
      <c r="A16" s="83" t="s">
        <v>478</v>
      </c>
      <c r="B16" s="84" t="s">
        <v>964</v>
      </c>
      <c r="C16" s="84" t="str">
        <f>Table22[[#This Row],[Ticker]]&amp; ( "US EQUITY")</f>
        <v>VZUS EQUITY</v>
      </c>
      <c r="D16" s="85">
        <v>0.51199824129487059</v>
      </c>
      <c r="E16" s="85">
        <v>0.48800175870512941</v>
      </c>
      <c r="F16" s="86">
        <f>_xlfn.XLOOKUP(Table22[[#This Row],[Ticker]],D!B:B,D!D:D,"not found")</f>
        <v>188260000000</v>
      </c>
      <c r="G16" s="87">
        <v>-0.11892320000000001</v>
      </c>
      <c r="H16" s="88">
        <v>13.867150000000001</v>
      </c>
      <c r="I16" s="89">
        <v>11.25149</v>
      </c>
      <c r="J16" s="89">
        <v>4.0155770000000004</v>
      </c>
      <c r="K16" s="90">
        <v>20.716629999999999</v>
      </c>
      <c r="N16" s="1">
        <f>D!E14</f>
        <v>2.0854946989889663E-2</v>
      </c>
      <c r="O16" s="25">
        <f>N16*Table22[[#This Row],[2020]]</f>
        <v>-2.4801370318680463E-3</v>
      </c>
      <c r="P16" s="16">
        <f>N16*Table22[[#This Row],[2019]]</f>
        <v>0.28919867815084843</v>
      </c>
      <c r="Q16" s="15">
        <f>N16*Table22[[#This Row],[2018]]</f>
        <v>0.23464922750727366</v>
      </c>
      <c r="R16" s="15">
        <f>N16*Table22[[#This Row],[2017]]</f>
        <v>8.374464546882017E-2</v>
      </c>
      <c r="S16" s="24">
        <f>N16*Table22[[#This Row],[2016]]</f>
        <v>0.43204422045915786</v>
      </c>
      <c r="V16">
        <f t="shared" si="1"/>
        <v>4.7393364928909956E-3</v>
      </c>
      <c r="W16" s="25">
        <f>V16*Table22[[#This Row],[2020]]</f>
        <v>-5.6361706161137451E-4</v>
      </c>
      <c r="X16" s="16">
        <f>V16*Table22[[#This Row],[2019]]</f>
        <v>6.5721090047393377E-2</v>
      </c>
      <c r="Y16" s="15">
        <f>V16*Table22[[#This Row],[2018]]</f>
        <v>5.3324597156398111E-2</v>
      </c>
      <c r="Z16" s="15">
        <f>V16*Table22[[#This Row],[2017]]</f>
        <v>1.9031170616113747E-2</v>
      </c>
      <c r="AA16" s="24">
        <f>V16*Table22[[#This Row],[2016]]</f>
        <v>9.8183080568720382E-2</v>
      </c>
    </row>
    <row r="17" spans="1:27" x14ac:dyDescent="0.35">
      <c r="A17" s="83" t="s">
        <v>172</v>
      </c>
      <c r="B17" s="84" t="s">
        <v>676</v>
      </c>
      <c r="C17" s="84" t="str">
        <f>Table22[[#This Row],[Ticker]]&amp; ( "US EQUITY")</f>
        <v>CUS EQUITY</v>
      </c>
      <c r="D17" s="85">
        <v>0.50136852945435817</v>
      </c>
      <c r="E17" s="85">
        <v>0.49863147054564178</v>
      </c>
      <c r="F17" s="86">
        <f>_xlfn.XLOOKUP(Table22[[#This Row],[Ticker]],D!B:B,D!D:D,"not found")</f>
        <v>152830000000</v>
      </c>
      <c r="G17" s="87">
        <v>-19.640440000000002</v>
      </c>
      <c r="H17" s="88">
        <v>57.781669999999998</v>
      </c>
      <c r="I17" s="89">
        <v>-28.49108</v>
      </c>
      <c r="J17" s="89">
        <v>27.04025</v>
      </c>
      <c r="K17" s="90">
        <v>15.90713</v>
      </c>
      <c r="N17" s="1">
        <f>D!E15</f>
        <v>1.6930104899951327E-2</v>
      </c>
      <c r="O17" s="25">
        <f>N17*Table22[[#This Row],[2020]]</f>
        <v>-0.33251470948120004</v>
      </c>
      <c r="P17" s="16">
        <f>N17*Table22[[#This Row],[2019]]</f>
        <v>0.97824973439437057</v>
      </c>
      <c r="Q17" s="15">
        <f>N17*Table22[[#This Row],[2018]]</f>
        <v>-0.48235697311290526</v>
      </c>
      <c r="R17" s="15">
        <f>N17*Table22[[#This Row],[2017]]</f>
        <v>0.45779426902090886</v>
      </c>
      <c r="S17" s="24">
        <f>N17*Table22[[#This Row],[2016]]</f>
        <v>0.26930937955716278</v>
      </c>
      <c r="V17">
        <f t="shared" si="1"/>
        <v>4.7393364928909956E-3</v>
      </c>
      <c r="W17" s="25">
        <f>V17*Table22[[#This Row],[2020]]</f>
        <v>-9.3082654028436032E-2</v>
      </c>
      <c r="X17" s="16">
        <f>V17*Table22[[#This Row],[2019]]</f>
        <v>0.27384677725118484</v>
      </c>
      <c r="Y17" s="15">
        <f>V17*Table22[[#This Row],[2018]]</f>
        <v>-0.13502881516587678</v>
      </c>
      <c r="Z17" s="15">
        <f>V17*Table22[[#This Row],[2017]]</f>
        <v>0.12815284360189574</v>
      </c>
      <c r="AA17" s="24">
        <f>V17*Table22[[#This Row],[2016]]</f>
        <v>7.5389241706161139E-2</v>
      </c>
    </row>
    <row r="18" spans="1:27" x14ac:dyDescent="0.35">
      <c r="A18" s="83" t="s">
        <v>290</v>
      </c>
      <c r="B18" s="84" t="s">
        <v>787</v>
      </c>
      <c r="C18" s="84" t="str">
        <f>Table22[[#This Row],[Ticker]]&amp; ( "US EQUITY")</f>
        <v>INTCUS EQUITY</v>
      </c>
      <c r="D18" s="85">
        <v>0.59450407571063946</v>
      </c>
      <c r="E18" s="85">
        <v>0.40549592428936054</v>
      </c>
      <c r="F18" s="86">
        <f>_xlfn.XLOOKUP(Table22[[#This Row],[Ticker]],D!B:B,D!D:D,"not found")</f>
        <v>162780000000</v>
      </c>
      <c r="G18" s="87">
        <v>-14.699350000000001</v>
      </c>
      <c r="H18" s="88">
        <v>30.701709999999999</v>
      </c>
      <c r="I18" s="89">
        <v>4.2128209999999999</v>
      </c>
      <c r="J18" s="89">
        <v>30.841550000000002</v>
      </c>
      <c r="K18" s="90">
        <v>8.7817310000000006</v>
      </c>
      <c r="N18" s="1">
        <f>D!E16</f>
        <v>1.8032339695178153E-2</v>
      </c>
      <c r="O18" s="25">
        <f>N18*Table22[[#This Row],[2020]]</f>
        <v>-0.26506367249831697</v>
      </c>
      <c r="P18" s="16">
        <f>N18*Table22[[#This Row],[2019]]</f>
        <v>0.55362366394284801</v>
      </c>
      <c r="Q18" s="15">
        <f>N18*Table22[[#This Row],[2018]]</f>
        <v>7.5967019346980122E-2</v>
      </c>
      <c r="R18" s="15">
        <f>N18*Table22[[#This Row],[2017]]</f>
        <v>0.55614530632582182</v>
      </c>
      <c r="S18" s="24">
        <f>N18*Table22[[#This Row],[2016]]</f>
        <v>0.15835515650367654</v>
      </c>
      <c r="V18">
        <f t="shared" si="1"/>
        <v>4.7393364928909956E-3</v>
      </c>
      <c r="W18" s="25">
        <f>V18*Table22[[#This Row],[2020]]</f>
        <v>-6.9665165876777263E-2</v>
      </c>
      <c r="X18" s="16">
        <f>V18*Table22[[#This Row],[2019]]</f>
        <v>0.14550573459715641</v>
      </c>
      <c r="Y18" s="15">
        <f>V18*Table22[[#This Row],[2018]]</f>
        <v>1.9965976303317538E-2</v>
      </c>
      <c r="Z18" s="15">
        <f>V18*Table22[[#This Row],[2017]]</f>
        <v>0.1461684834123223</v>
      </c>
      <c r="AA18" s="24">
        <f>V18*Table22[[#This Row],[2016]]</f>
        <v>4.161957819905214E-2</v>
      </c>
    </row>
    <row r="19" spans="1:27" x14ac:dyDescent="0.35">
      <c r="A19" s="83" t="s">
        <v>102</v>
      </c>
      <c r="B19" s="84" t="s">
        <v>606</v>
      </c>
      <c r="C19" s="84" t="str">
        <f>Table22[[#This Row],[Ticker]]&amp; ( "US EQUITY")</f>
        <v>AALUS EQUITY</v>
      </c>
      <c r="D19" s="85">
        <v>0.57044898788610598</v>
      </c>
      <c r="E19" s="85">
        <v>0.42955101211389402</v>
      </c>
      <c r="F19" s="86">
        <f>_xlfn.XLOOKUP(Table22[[#This Row],[Ticker]],D!B:B,D!D:D,"not found")</f>
        <v>26450000000</v>
      </c>
      <c r="G19" s="87">
        <v>-44.820540000000001</v>
      </c>
      <c r="H19" s="88">
        <v>-9.5702350000000003</v>
      </c>
      <c r="I19" s="89">
        <v>-37.680520000000001</v>
      </c>
      <c r="J19" s="89">
        <v>12.396800000000001</v>
      </c>
      <c r="K19" s="90">
        <v>11.492749999999999</v>
      </c>
      <c r="N19" s="1">
        <f>D!E17</f>
        <v>2.9300613400753293E-3</v>
      </c>
      <c r="O19" s="25">
        <f>N19*Table22[[#This Row],[2020]]</f>
        <v>-0.13132693149529989</v>
      </c>
      <c r="P19" s="16">
        <f>N19*Table22[[#This Row],[2019]]</f>
        <v>-2.8041375588935821E-2</v>
      </c>
      <c r="Q19" s="15">
        <f>N19*Table22[[#This Row],[2018]]</f>
        <v>-0.11040623492593525</v>
      </c>
      <c r="R19" s="15">
        <f>N19*Table22[[#This Row],[2017]]</f>
        <v>3.6323384420645845E-2</v>
      </c>
      <c r="S19" s="24">
        <f>N19*Table22[[#This Row],[2016]]</f>
        <v>3.3674462466150738E-2</v>
      </c>
      <c r="V19">
        <f t="shared" si="1"/>
        <v>4.7393364928909956E-3</v>
      </c>
      <c r="W19" s="25">
        <f>V19*Table22[[#This Row],[2020]]</f>
        <v>-0.21241962085308058</v>
      </c>
      <c r="X19" s="16">
        <f>V19*Table22[[#This Row],[2019]]</f>
        <v>-4.5356563981042659E-2</v>
      </c>
      <c r="Y19" s="15">
        <f>V19*Table22[[#This Row],[2018]]</f>
        <v>-0.17858066350710902</v>
      </c>
      <c r="Z19" s="15">
        <f>V19*Table22[[#This Row],[2017]]</f>
        <v>5.8752606635071099E-2</v>
      </c>
      <c r="AA19" s="24">
        <f>V19*Table22[[#This Row],[2016]]</f>
        <v>5.4468009478672988E-2</v>
      </c>
    </row>
    <row r="20" spans="1:27" x14ac:dyDescent="0.35">
      <c r="A20" s="83" t="s">
        <v>207</v>
      </c>
      <c r="B20" s="84" t="s">
        <v>709</v>
      </c>
      <c r="C20" s="84" t="str">
        <f>Table22[[#This Row],[Ticker]]&amp; ( "US EQUITY")</f>
        <v>DISHUS EQUITY</v>
      </c>
      <c r="D20" s="85">
        <v>0.67163790565675097</v>
      </c>
      <c r="E20" s="85">
        <v>0.32836209434324903</v>
      </c>
      <c r="F20" s="86">
        <f>_xlfn.XLOOKUP(Table22[[#This Row],[Ticker]],D!B:B,D!D:D,"not found")</f>
        <v>26510000000</v>
      </c>
      <c r="G20" s="87">
        <v>-8.8243430000000007</v>
      </c>
      <c r="H20" s="88">
        <v>42.618209999999998</v>
      </c>
      <c r="I20" s="89">
        <v>-47.706789999999998</v>
      </c>
      <c r="J20" s="89">
        <v>-17.572929999999999</v>
      </c>
      <c r="K20" s="90">
        <v>1.3116479999999999</v>
      </c>
      <c r="N20" s="1">
        <f>D!E18</f>
        <v>2.9367079820565968E-3</v>
      </c>
      <c r="O20" s="25">
        <f>N20*Table22[[#This Row],[2020]]</f>
        <v>-2.591451852450526E-2</v>
      </c>
      <c r="P20" s="16">
        <f>N20*Table22[[#This Row],[2019]]</f>
        <v>0.12515723748796426</v>
      </c>
      <c r="Q20" s="15">
        <f>N20*Table22[[#This Row],[2018]]</f>
        <v>-0.14010091099129782</v>
      </c>
      <c r="R20" s="15">
        <f>N20*Table22[[#This Row],[2017]]</f>
        <v>-5.1606563799121832E-2</v>
      </c>
      <c r="S20" s="24">
        <f>N20*Table22[[#This Row],[2016]]</f>
        <v>3.8519271512485707E-3</v>
      </c>
      <c r="V20">
        <f t="shared" si="1"/>
        <v>4.7393364928909956E-3</v>
      </c>
      <c r="W20" s="25">
        <f>V20*Table22[[#This Row],[2020]]</f>
        <v>-4.1821530805687207E-2</v>
      </c>
      <c r="X20" s="16">
        <f>V20*Table22[[#This Row],[2019]]</f>
        <v>0.20198203791469194</v>
      </c>
      <c r="Y20" s="15">
        <f>V20*Table22[[#This Row],[2018]]</f>
        <v>-0.2260985308056872</v>
      </c>
      <c r="Z20" s="15">
        <f>V20*Table22[[#This Row],[2017]]</f>
        <v>-8.3284028436018967E-2</v>
      </c>
      <c r="AA20" s="24">
        <f>V20*Table22[[#This Row],[2016]]</f>
        <v>6.2163412322274883E-3</v>
      </c>
    </row>
    <row r="21" spans="1:27" x14ac:dyDescent="0.35">
      <c r="A21" s="83" t="s">
        <v>139</v>
      </c>
      <c r="B21" s="84" t="s">
        <v>643</v>
      </c>
      <c r="C21" s="84" t="str">
        <f>Table22[[#This Row],[Ticker]]&amp; ( "US EQUITY")</f>
        <v>BLKUS EQUITY</v>
      </c>
      <c r="D21" s="85">
        <v>0.60629679979099227</v>
      </c>
      <c r="E21" s="85">
        <v>0.39370320020900768</v>
      </c>
      <c r="F21" s="86">
        <f>_xlfn.XLOOKUP(Table22[[#This Row],[Ticker]],D!B:B,D!D:D,"not found")</f>
        <v>55660000000</v>
      </c>
      <c r="G21" s="87">
        <v>47.201180000000001</v>
      </c>
      <c r="H21" s="88">
        <v>31.83259</v>
      </c>
      <c r="I21" s="89">
        <v>-21.609439999999999</v>
      </c>
      <c r="J21" s="89">
        <v>38.178429999999999</v>
      </c>
      <c r="K21" s="90">
        <v>14.62251</v>
      </c>
      <c r="N21" s="1">
        <f>D!E19</f>
        <v>6.1658682112889539E-3</v>
      </c>
      <c r="O21" s="25">
        <f>N21*Table22[[#This Row],[2020]]</f>
        <v>0.29103625529732796</v>
      </c>
      <c r="P21" s="16">
        <f>N21*Table22[[#This Row],[2019]]</f>
        <v>0.19627555476399464</v>
      </c>
      <c r="Q21" s="15">
        <f>N21*Table22[[#This Row],[2018]]</f>
        <v>-0.13324095915975598</v>
      </c>
      <c r="R21" s="15">
        <f>N21*Table22[[#This Row],[2017]]</f>
        <v>0.23540316789392052</v>
      </c>
      <c r="S21" s="24">
        <f>N21*Table22[[#This Row],[2016]]</f>
        <v>9.016046957825484E-2</v>
      </c>
      <c r="V21">
        <f t="shared" si="1"/>
        <v>4.7393364928909956E-3</v>
      </c>
      <c r="W21" s="25">
        <f>V21*Table22[[#This Row],[2020]]</f>
        <v>0.22370227488151662</v>
      </c>
      <c r="X21" s="16">
        <f>V21*Table22[[#This Row],[2019]]</f>
        <v>0.15086535545023697</v>
      </c>
      <c r="Y21" s="15">
        <f>V21*Table22[[#This Row],[2018]]</f>
        <v>-0.10241440758293839</v>
      </c>
      <c r="Z21" s="15">
        <f>V21*Table22[[#This Row],[2017]]</f>
        <v>0.18094042654028436</v>
      </c>
      <c r="AA21" s="24">
        <f>V21*Table22[[#This Row],[2016]]</f>
        <v>6.9300995260663509E-2</v>
      </c>
    </row>
    <row r="22" spans="1:27" x14ac:dyDescent="0.35">
      <c r="A22" s="83" t="s">
        <v>157</v>
      </c>
      <c r="B22" s="84" t="s">
        <v>661</v>
      </c>
      <c r="C22" s="84" t="str">
        <f>Table22[[#This Row],[Ticker]]&amp; ( "US EQUITY")</f>
        <v>CNCUS EQUITY</v>
      </c>
      <c r="D22" s="85">
        <v>0.66027966774731528</v>
      </c>
      <c r="E22" s="85">
        <v>0.33972033225268472</v>
      </c>
      <c r="F22" s="86">
        <f>_xlfn.XLOOKUP(Table22[[#This Row],[Ticker]],D!B:B,D!D:D,"not found")</f>
        <v>7920000000</v>
      </c>
      <c r="G22" s="87">
        <v>-4.5172509999999999</v>
      </c>
      <c r="H22" s="88">
        <v>9.0546489999999995</v>
      </c>
      <c r="I22" s="89">
        <v>14.294219999999999</v>
      </c>
      <c r="J22" s="89">
        <v>78.517080000000007</v>
      </c>
      <c r="K22" s="90">
        <v>-14.131600000000001</v>
      </c>
      <c r="N22" s="1">
        <f>D!E20</f>
        <v>8.7735674152728199E-4</v>
      </c>
      <c r="O22" s="25">
        <f>N22*Table22[[#This Row],[2020]]</f>
        <v>-3.9632406180208557E-3</v>
      </c>
      <c r="P22" s="16">
        <f>N22*Table22[[#This Row],[2019]]</f>
        <v>7.9441573423132614E-3</v>
      </c>
      <c r="Q22" s="15">
        <f>N22*Table22[[#This Row],[2018]]</f>
        <v>1.2541130281874105E-2</v>
      </c>
      <c r="R22" s="15">
        <f>N22*Table22[[#This Row],[2017]]</f>
        <v>6.8887489463036924E-2</v>
      </c>
      <c r="S22" s="24">
        <f>N22*Table22[[#This Row],[2016]]</f>
        <v>-1.2398454528566938E-2</v>
      </c>
      <c r="V22">
        <f t="shared" si="1"/>
        <v>4.7393364928909956E-3</v>
      </c>
      <c r="W22" s="25">
        <f>V22*Table22[[#This Row],[2020]]</f>
        <v>-2.1408772511848341E-2</v>
      </c>
      <c r="X22" s="16">
        <f>V22*Table22[[#This Row],[2019]]</f>
        <v>4.2913028436018956E-2</v>
      </c>
      <c r="Y22" s="15">
        <f>V22*Table22[[#This Row],[2018]]</f>
        <v>6.7745118483412317E-2</v>
      </c>
      <c r="Z22" s="15">
        <f>V22*Table22[[#This Row],[2017]]</f>
        <v>0.37211886255924176</v>
      </c>
      <c r="AA22" s="24">
        <f>V22*Table22[[#This Row],[2016]]</f>
        <v>-6.6974407582938392E-2</v>
      </c>
    </row>
    <row r="23" spans="1:27" x14ac:dyDescent="0.35">
      <c r="A23" s="83" t="s">
        <v>400</v>
      </c>
      <c r="B23" s="84" t="s">
        <v>896</v>
      </c>
      <c r="C23" s="84" t="str">
        <f>Table22[[#This Row],[Ticker]]&amp; ( "US EQUITY")</f>
        <v>PRUUS EQUITY</v>
      </c>
      <c r="D23" s="85">
        <v>0.53136412661714516</v>
      </c>
      <c r="E23" s="85">
        <v>0.46863587338285478</v>
      </c>
      <c r="F23" s="86">
        <f>_xlfn.XLOOKUP(Table22[[#This Row],[Ticker]],D!B:B,D!D:D,"not found")</f>
        <v>36400000000</v>
      </c>
      <c r="G23" s="87">
        <v>-11.48315</v>
      </c>
      <c r="H23" s="88">
        <v>20.055350000000001</v>
      </c>
      <c r="I23" s="89">
        <v>-26.460509999999999</v>
      </c>
      <c r="J23" s="89">
        <v>13.64349</v>
      </c>
      <c r="K23" s="90">
        <v>32.482019999999999</v>
      </c>
      <c r="N23" s="1">
        <f>D!E21</f>
        <v>4.0322961353021552E-3</v>
      </c>
      <c r="O23" s="25">
        <f>N23*Table22[[#This Row],[2020]]</f>
        <v>-4.6303461366094943E-2</v>
      </c>
      <c r="P23" s="16">
        <f>N23*Table22[[#This Row],[2019]]</f>
        <v>8.0869110297132077E-2</v>
      </c>
      <c r="Q23" s="15">
        <f>N23*Table22[[#This Row],[2018]]</f>
        <v>-0.10669661221112403</v>
      </c>
      <c r="R23" s="15">
        <f>N23*Table22[[#This Row],[2017]]</f>
        <v>5.50145919990336E-2</v>
      </c>
      <c r="S23" s="24">
        <f>N23*Table22[[#This Row],[2016]]</f>
        <v>0.13097712371280731</v>
      </c>
      <c r="V23">
        <f t="shared" si="1"/>
        <v>4.7393364928909956E-3</v>
      </c>
      <c r="W23" s="25">
        <f>V23*Table22[[#This Row],[2020]]</f>
        <v>-5.4422511848341237E-2</v>
      </c>
      <c r="X23" s="16">
        <f>V23*Table22[[#This Row],[2019]]</f>
        <v>9.5049052132701428E-2</v>
      </c>
      <c r="Y23" s="15">
        <f>V23*Table22[[#This Row],[2018]]</f>
        <v>-0.12540526066350713</v>
      </c>
      <c r="Z23" s="15">
        <f>V23*Table22[[#This Row],[2017]]</f>
        <v>6.4661090047393371E-2</v>
      </c>
      <c r="AA23" s="24">
        <f>V23*Table22[[#This Row],[2016]]</f>
        <v>0.15394322274881517</v>
      </c>
    </row>
    <row r="24" spans="1:27" x14ac:dyDescent="0.35">
      <c r="A24" s="83" t="s">
        <v>418</v>
      </c>
      <c r="B24" s="84" t="s">
        <v>913</v>
      </c>
      <c r="C24" s="84" t="str">
        <f>Table22[[#This Row],[Ticker]]&amp; ( "US EQUITY")</f>
        <v>CRMUS EQUITY</v>
      </c>
      <c r="D24" s="85">
        <v>0.90603213330910792</v>
      </c>
      <c r="E24" s="85">
        <v>9.3967866690892105E-2</v>
      </c>
      <c r="F24" s="86">
        <f>_xlfn.XLOOKUP(Table22[[#This Row],[Ticker]],D!B:B,D!D:D,"not found")</f>
        <v>52060000000</v>
      </c>
      <c r="G24" s="87">
        <v>36.82367</v>
      </c>
      <c r="H24" s="88">
        <v>18.741309999999999</v>
      </c>
      <c r="I24" s="89">
        <v>33.982199999999999</v>
      </c>
      <c r="J24" s="89">
        <v>49.328090000000003</v>
      </c>
      <c r="K24" s="90">
        <v>-12.678570000000001</v>
      </c>
      <c r="N24" s="1">
        <f>D!E22</f>
        <v>5.7670696924129166E-3</v>
      </c>
      <c r="O24" s="25">
        <f>N24*Table22[[#This Row],[2020]]</f>
        <v>0.21236467122041475</v>
      </c>
      <c r="P24" s="16">
        <f>N24*Table22[[#This Row],[2019]]</f>
        <v>0.10808244089711511</v>
      </c>
      <c r="Q24" s="15">
        <f>N24*Table22[[#This Row],[2018]]</f>
        <v>0.1959777157015142</v>
      </c>
      <c r="R24" s="15">
        <f>N24*Table22[[#This Row],[2017]]</f>
        <v>0.28447853282361668</v>
      </c>
      <c r="S24" s="24">
        <f>N24*Table22[[#This Row],[2016]]</f>
        <v>-7.3118196790135634E-2</v>
      </c>
      <c r="V24">
        <f t="shared" si="1"/>
        <v>4.7393364928909956E-3</v>
      </c>
      <c r="W24" s="25">
        <f>V24*Table22[[#This Row],[2020]]</f>
        <v>0.17451976303317537</v>
      </c>
      <c r="X24" s="16">
        <f>V24*Table22[[#This Row],[2019]]</f>
        <v>8.8821374407582934E-2</v>
      </c>
      <c r="Y24" s="15">
        <f>V24*Table22[[#This Row],[2018]]</f>
        <v>0.16105308056872039</v>
      </c>
      <c r="Z24" s="15">
        <f>V24*Table22[[#This Row],[2017]]</f>
        <v>0.2337824170616114</v>
      </c>
      <c r="AA24" s="24">
        <f>V24*Table22[[#This Row],[2016]]</f>
        <v>-6.0088009478672995E-2</v>
      </c>
    </row>
    <row r="25" spans="1:27" x14ac:dyDescent="0.35">
      <c r="A25" s="83" t="s">
        <v>387</v>
      </c>
      <c r="B25" s="84" t="s">
        <v>883</v>
      </c>
      <c r="C25" s="84" t="str">
        <f>Table22[[#This Row],[Ticker]]&amp; ( "US EQUITY")</f>
        <v>PEPUS EQUITY</v>
      </c>
      <c r="D25" s="85">
        <v>0.5384140474247634</v>
      </c>
      <c r="E25" s="85">
        <v>0.4615859525752366</v>
      </c>
      <c r="F25" s="86">
        <f>_xlfn.XLOOKUP(Table22[[#This Row],[Ticker]],D!B:B,D!D:D,"not found")</f>
        <v>144680000000</v>
      </c>
      <c r="G25" s="87">
        <v>11.708589999999999</v>
      </c>
      <c r="H25" s="88">
        <v>27.368210000000001</v>
      </c>
      <c r="I25" s="89">
        <v>-4.8121330000000002</v>
      </c>
      <c r="J25" s="89">
        <v>17.814920000000001</v>
      </c>
      <c r="K25" s="90">
        <v>7.796443</v>
      </c>
      <c r="N25" s="1">
        <f>D!E23</f>
        <v>1.602726936416252E-2</v>
      </c>
      <c r="O25" s="25">
        <f>N25*Table22[[#This Row],[2020]]</f>
        <v>0.18765672580453963</v>
      </c>
      <c r="P25" s="16">
        <f>N25*Table22[[#This Row],[2019]]</f>
        <v>0.43863767368496631</v>
      </c>
      <c r="Q25" s="15">
        <f>N25*Table22[[#This Row],[2018]]</f>
        <v>-7.7125351807175488E-2</v>
      </c>
      <c r="R25" s="15">
        <f>N25*Table22[[#This Row],[2017]]</f>
        <v>0.28552452154100616</v>
      </c>
      <c r="S25" s="24">
        <f>N25*Table22[[#This Row],[2016]]</f>
        <v>0.12495569204333933</v>
      </c>
      <c r="V25">
        <f t="shared" si="1"/>
        <v>4.7393364928909956E-3</v>
      </c>
      <c r="W25" s="25">
        <f>V25*Table22[[#This Row],[2020]]</f>
        <v>5.5490947867298579E-2</v>
      </c>
      <c r="X25" s="16">
        <f>V25*Table22[[#This Row],[2019]]</f>
        <v>0.12970715639810429</v>
      </c>
      <c r="Y25" s="15">
        <f>V25*Table22[[#This Row],[2018]]</f>
        <v>-2.2806317535545028E-2</v>
      </c>
      <c r="Z25" s="15">
        <f>V25*Table22[[#This Row],[2017]]</f>
        <v>8.4430900473933659E-2</v>
      </c>
      <c r="AA25" s="24">
        <f>V25*Table22[[#This Row],[2016]]</f>
        <v>3.6949966824644555E-2</v>
      </c>
    </row>
    <row r="26" spans="1:27" x14ac:dyDescent="0.35">
      <c r="A26" s="83" t="s">
        <v>456</v>
      </c>
      <c r="B26" s="84" t="s">
        <v>944</v>
      </c>
      <c r="C26" s="84" t="str">
        <f>Table22[[#This Row],[Ticker]]&amp; ( "US EQUITY")</f>
        <v>TMUSUS EQUITY</v>
      </c>
      <c r="D26" s="85">
        <v>0.50269883501666102</v>
      </c>
      <c r="E26" s="85">
        <v>0.49730116498333893</v>
      </c>
      <c r="F26" s="86">
        <f>_xlfn.XLOOKUP(Table22[[#This Row],[Ticker]],D!B:B,D!D:D,"not found")</f>
        <v>32020000000.000004</v>
      </c>
      <c r="G26" s="87">
        <v>72.27722</v>
      </c>
      <c r="H26" s="88">
        <v>23.282489999999999</v>
      </c>
      <c r="I26" s="89">
        <v>0.1574516</v>
      </c>
      <c r="J26" s="89">
        <v>10.432980000000001</v>
      </c>
      <c r="K26" s="90">
        <v>47.009230000000002</v>
      </c>
      <c r="N26" s="1">
        <f>D!E24</f>
        <v>3.547091270669643E-3</v>
      </c>
      <c r="O26" s="25">
        <f>N26*Table22[[#This Row],[2020]]</f>
        <v>0.25637389613026934</v>
      </c>
      <c r="P26" s="16">
        <f>N26*Table22[[#This Row],[2019]]</f>
        <v>8.2585117038453254E-2</v>
      </c>
      <c r="Q26" s="15">
        <f>N26*Table22[[#This Row],[2018]]</f>
        <v>5.5849519591296836E-4</v>
      </c>
      <c r="R26" s="15">
        <f>N26*Table22[[#This Row],[2017]]</f>
        <v>3.7006732285070974E-2</v>
      </c>
      <c r="S26" s="24">
        <f>N26*Table22[[#This Row],[2016]]</f>
        <v>0.16674602937390151</v>
      </c>
      <c r="V26">
        <f t="shared" si="1"/>
        <v>4.7393364928909956E-3</v>
      </c>
      <c r="W26" s="25">
        <f>V26*Table22[[#This Row],[2020]]</f>
        <v>0.34254606635071094</v>
      </c>
      <c r="X26" s="16">
        <f>V26*Table22[[#This Row],[2019]]</f>
        <v>0.11034355450236967</v>
      </c>
      <c r="Y26" s="15">
        <f>V26*Table22[[#This Row],[2018]]</f>
        <v>7.4621611374407586E-4</v>
      </c>
      <c r="Z26" s="15">
        <f>V26*Table22[[#This Row],[2017]]</f>
        <v>4.9445402843601903E-2</v>
      </c>
      <c r="AA26" s="24">
        <f>V26*Table22[[#This Row],[2016]]</f>
        <v>0.22279255924170618</v>
      </c>
    </row>
    <row r="27" spans="1:27" x14ac:dyDescent="0.35">
      <c r="A27" s="83" t="s">
        <v>104</v>
      </c>
      <c r="B27" s="84" t="s">
        <v>608</v>
      </c>
      <c r="C27" s="84" t="str">
        <f>Table22[[#This Row],[Ticker]]&amp; ( "US EQUITY")</f>
        <v>AXPUS EQUITY</v>
      </c>
      <c r="D27" s="85">
        <v>0.54534812988738501</v>
      </c>
      <c r="E27" s="85">
        <v>0.45465187011261493</v>
      </c>
      <c r="F27" s="86">
        <f>_xlfn.XLOOKUP(Table22[[#This Row],[Ticker]],D!B:B,D!D:D,"not found")</f>
        <v>67390000000</v>
      </c>
      <c r="G27" s="87">
        <v>-1.1500060000000001</v>
      </c>
      <c r="H27" s="88">
        <v>32.52402</v>
      </c>
      <c r="I27" s="89">
        <v>-2.6321650000000001</v>
      </c>
      <c r="J27" s="89">
        <v>36.204770000000003</v>
      </c>
      <c r="K27" s="90">
        <v>8.5709689999999998</v>
      </c>
      <c r="N27" s="1">
        <f>D!E25</f>
        <v>7.4652867186267092E-3</v>
      </c>
      <c r="O27" s="25">
        <f>N27*Table22[[#This Row],[2020]]</f>
        <v>-8.5851245181410279E-3</v>
      </c>
      <c r="P27" s="16">
        <f>N27*Table22[[#This Row],[2019]]</f>
        <v>0.24280113454234947</v>
      </c>
      <c r="Q27" s="15">
        <f>N27*Table22[[#This Row],[2018]]</f>
        <v>-1.9649866415734074E-2</v>
      </c>
      <c r="R27" s="15">
        <f>N27*Table22[[#This Row],[2017]]</f>
        <v>0.27027898863193472</v>
      </c>
      <c r="S27" s="24">
        <f>N27*Table22[[#This Row],[2016]]</f>
        <v>6.3984741041461249E-2</v>
      </c>
      <c r="V27">
        <f t="shared" si="1"/>
        <v>4.7393364928909956E-3</v>
      </c>
      <c r="W27" s="25">
        <f>V27*Table22[[#This Row],[2020]]</f>
        <v>-5.4502654028436024E-3</v>
      </c>
      <c r="X27" s="16">
        <f>V27*Table22[[#This Row],[2019]]</f>
        <v>0.15414227488151661</v>
      </c>
      <c r="Y27" s="15">
        <f>V27*Table22[[#This Row],[2018]]</f>
        <v>-1.2474715639810428E-2</v>
      </c>
      <c r="Z27" s="15">
        <f>V27*Table22[[#This Row],[2017]]</f>
        <v>0.17158658767772514</v>
      </c>
      <c r="AA27" s="24">
        <f>V27*Table22[[#This Row],[2016]]</f>
        <v>4.0620706161137443E-2</v>
      </c>
    </row>
    <row r="28" spans="1:27" x14ac:dyDescent="0.35">
      <c r="A28" s="83" t="s">
        <v>327</v>
      </c>
      <c r="B28" s="84" t="s">
        <v>824</v>
      </c>
      <c r="C28" s="84" t="str">
        <f>Table22[[#This Row],[Ticker]]&amp; ( "US EQUITY")</f>
        <v>LUS EQUITY</v>
      </c>
      <c r="D28" s="85">
        <v>0.72509872139944032</v>
      </c>
      <c r="E28" s="85">
        <v>0.27490127860055968</v>
      </c>
      <c r="F28" s="86">
        <f>_xlfn.XLOOKUP(Table22[[#This Row],[Ticker]],D!B:B,D!D:D,"not found")</f>
        <v>13050000000</v>
      </c>
      <c r="G28" s="87">
        <v>-13.694559999999999</v>
      </c>
      <c r="H28" s="88">
        <v>15.899459999999999</v>
      </c>
      <c r="I28" s="89">
        <v>-8.5491770000000002</v>
      </c>
      <c r="J28" s="89">
        <v>7.3941949999999999</v>
      </c>
      <c r="K28" s="90">
        <v>22.704910000000002</v>
      </c>
      <c r="N28" s="1">
        <f>D!E26</f>
        <v>1.4456446309256351E-3</v>
      </c>
      <c r="O28" s="25">
        <f>N28*Table22[[#This Row],[2020]]</f>
        <v>-1.9797467136888965E-2</v>
      </c>
      <c r="P28" s="16">
        <f>N28*Table22[[#This Row],[2019]]</f>
        <v>2.2984968983616898E-2</v>
      </c>
      <c r="Q28" s="15">
        <f>N28*Table22[[#This Row],[2018]]</f>
        <v>-1.2359071828882929E-2</v>
      </c>
      <c r="R28" s="15">
        <f>N28*Table22[[#This Row],[2017]]</f>
        <v>1.0689378301767177E-2</v>
      </c>
      <c r="S28" s="24">
        <f>N28*Table22[[#This Row],[2016]]</f>
        <v>3.2823231237149766E-2</v>
      </c>
      <c r="V28">
        <f t="shared" si="1"/>
        <v>4.7393364928909956E-3</v>
      </c>
      <c r="W28" s="25">
        <f>V28*Table22[[#This Row],[2020]]</f>
        <v>-6.4903127962085305E-2</v>
      </c>
      <c r="X28" s="16">
        <f>V28*Table22[[#This Row],[2019]]</f>
        <v>7.5352890995260671E-2</v>
      </c>
      <c r="Y28" s="15">
        <f>V28*Table22[[#This Row],[2018]]</f>
        <v>-4.0517426540284361E-2</v>
      </c>
      <c r="Z28" s="15">
        <f>V28*Table22[[#This Row],[2017]]</f>
        <v>3.5043578199052135E-2</v>
      </c>
      <c r="AA28" s="24">
        <f>V28*Table22[[#This Row],[2016]]</f>
        <v>0.1076062085308057</v>
      </c>
    </row>
    <row r="29" spans="1:27" x14ac:dyDescent="0.35">
      <c r="A29" s="83" t="s">
        <v>469</v>
      </c>
      <c r="B29" s="84" t="s">
        <v>956</v>
      </c>
      <c r="C29" s="84" t="str">
        <f>Table22[[#This Row],[Ticker]]&amp; ( "US EQUITY")</f>
        <v>UALUS EQUITY</v>
      </c>
      <c r="D29" s="85">
        <v>0.59194552268772582</v>
      </c>
      <c r="E29" s="85">
        <v>0.40805447731227412</v>
      </c>
      <c r="F29" s="86">
        <f>_xlfn.XLOOKUP(Table22[[#This Row],[Ticker]],D!B:B,D!D:D,"not found")</f>
        <v>20890000000</v>
      </c>
      <c r="G29" s="87">
        <v>-50.90249</v>
      </c>
      <c r="H29" s="88">
        <v>5.207217</v>
      </c>
      <c r="I29" s="89">
        <v>24.228480000000001</v>
      </c>
      <c r="J29" s="89">
        <v>-7.5191970000000001</v>
      </c>
      <c r="K29" s="90">
        <v>27.19022</v>
      </c>
      <c r="N29" s="1">
        <f>D!E27</f>
        <v>2.3141391831445609E-3</v>
      </c>
      <c r="O29" s="25">
        <f>N29*Table22[[#This Row],[2020]]</f>
        <v>-0.11779544662862418</v>
      </c>
      <c r="P29" s="16">
        <f>N29*Table22[[#This Row],[2019]]</f>
        <v>1.2050224894836471E-2</v>
      </c>
      <c r="Q29" s="15">
        <f>N29*Table22[[#This Row],[2018]]</f>
        <v>5.6068074916034334E-2</v>
      </c>
      <c r="R29" s="15">
        <f>N29*Table22[[#This Row],[2017]]</f>
        <v>-1.7400468403483034E-2</v>
      </c>
      <c r="S29" s="24">
        <f>N29*Table22[[#This Row],[2016]]</f>
        <v>6.2921953500320899E-2</v>
      </c>
      <c r="V29">
        <f t="shared" si="1"/>
        <v>4.7393364928909956E-3</v>
      </c>
      <c r="W29" s="25">
        <f>V29*Table22[[#This Row],[2020]]</f>
        <v>-0.24124402843601897</v>
      </c>
      <c r="X29" s="16">
        <f>V29*Table22[[#This Row],[2019]]</f>
        <v>2.4678753554502372E-2</v>
      </c>
      <c r="Y29" s="15">
        <f>V29*Table22[[#This Row],[2018]]</f>
        <v>0.11482691943127964</v>
      </c>
      <c r="Z29" s="15">
        <f>V29*Table22[[#This Row],[2017]]</f>
        <v>-3.5636004739336494E-2</v>
      </c>
      <c r="AA29" s="24">
        <f>V29*Table22[[#This Row],[2016]]</f>
        <v>0.12886360189573462</v>
      </c>
    </row>
    <row r="30" spans="1:27" x14ac:dyDescent="0.35">
      <c r="A30" s="83" t="s">
        <v>65</v>
      </c>
      <c r="B30" s="84" t="s">
        <v>572</v>
      </c>
      <c r="C30" s="84" t="str">
        <f>Table22[[#This Row],[Ticker]]&amp; ( "US EQUITY")</f>
        <v>QCOMUS EQUITY</v>
      </c>
      <c r="D30" s="85">
        <v>0.63442205007002805</v>
      </c>
      <c r="E30" s="85">
        <v>0.365577949929972</v>
      </c>
      <c r="F30" s="86">
        <f>_xlfn.XLOOKUP(Table22[[#This Row],[Ticker]],D!B:B,D!D:D,"not found")</f>
        <v>74730000000</v>
      </c>
      <c r="G30" s="87">
        <v>77.004429999999999</v>
      </c>
      <c r="H30" s="88">
        <v>60.67116</v>
      </c>
      <c r="I30" s="89">
        <v>-7.5922729999999996</v>
      </c>
      <c r="J30" s="89">
        <v>2.0342950000000002</v>
      </c>
      <c r="K30" s="90">
        <v>35.112050000000004</v>
      </c>
      <c r="N30" s="1">
        <f>D!E28</f>
        <v>8.2783925876684077E-3</v>
      </c>
      <c r="O30" s="25">
        <f>N30*Table22[[#This Row],[2020]]</f>
        <v>0.63747290252963074</v>
      </c>
      <c r="P30" s="16">
        <f>N30*Table22[[#This Row],[2019]]</f>
        <v>0.50225968122924403</v>
      </c>
      <c r="Q30" s="15">
        <f>N30*Table22[[#This Row],[2018]]</f>
        <v>-6.2851816526754978E-2</v>
      </c>
      <c r="R30" s="15">
        <f>N30*Table22[[#This Row],[2017]]</f>
        <v>1.6840692649130906E-2</v>
      </c>
      <c r="S30" s="24">
        <f>N30*Table22[[#This Row],[2016]]</f>
        <v>0.29067133445784255</v>
      </c>
      <c r="V30">
        <f t="shared" si="1"/>
        <v>4.7393364928909956E-3</v>
      </c>
      <c r="W30" s="25">
        <f>V30*Table22[[#This Row],[2020]]</f>
        <v>0.36494990521327014</v>
      </c>
      <c r="X30" s="16">
        <f>V30*Table22[[#This Row],[2019]]</f>
        <v>0.28754104265402847</v>
      </c>
      <c r="Y30" s="15">
        <f>V30*Table22[[#This Row],[2018]]</f>
        <v>-3.5982336492890996E-2</v>
      </c>
      <c r="Z30" s="15">
        <f>V30*Table22[[#This Row],[2017]]</f>
        <v>9.6412085308056894E-3</v>
      </c>
      <c r="AA30" s="24">
        <f>V30*Table22[[#This Row],[2016]]</f>
        <v>0.16640781990521331</v>
      </c>
    </row>
    <row r="31" spans="1:27" x14ac:dyDescent="0.35">
      <c r="A31" s="83" t="s">
        <v>196</v>
      </c>
      <c r="B31" s="84" t="s">
        <v>698</v>
      </c>
      <c r="C31" s="84" t="str">
        <f>Table22[[#This Row],[Ticker]]&amp; ( "US EQUITY")</f>
        <v>CVSUS EQUITY</v>
      </c>
      <c r="D31" s="85">
        <v>0.57268238947005967</v>
      </c>
      <c r="E31" s="85">
        <v>0.42731761052994033</v>
      </c>
      <c r="F31" s="86">
        <f>_xlfn.XLOOKUP(Table22[[#This Row],[Ticker]],D!B:B,D!D:D,"not found")</f>
        <v>107640000000</v>
      </c>
      <c r="G31" s="87">
        <v>-5.1494299999999997</v>
      </c>
      <c r="H31" s="88">
        <v>17.264410000000002</v>
      </c>
      <c r="I31" s="89">
        <v>-7.0318100000000001</v>
      </c>
      <c r="J31" s="89">
        <v>-5.746448</v>
      </c>
      <c r="K31" s="90">
        <v>-17.83446</v>
      </c>
      <c r="N31" s="1">
        <f>D!E29</f>
        <v>1.1924075714393514E-2</v>
      </c>
      <c r="O31" s="25">
        <f>N31*Table22[[#This Row],[2020]]</f>
        <v>-6.1402193205969388E-2</v>
      </c>
      <c r="P31" s="16">
        <f>N31*Table22[[#This Row],[2019]]</f>
        <v>0.20586213200433254</v>
      </c>
      <c r="Q31" s="15">
        <f>N31*Table22[[#This Row],[2018]]</f>
        <v>-8.3847834849229461E-2</v>
      </c>
      <c r="R31" s="15">
        <f>N31*Table22[[#This Row],[2017]]</f>
        <v>-6.8521081040825174E-2</v>
      </c>
      <c r="S31" s="24">
        <f>N31*Table22[[#This Row],[2016]]</f>
        <v>-0.21265945136532255</v>
      </c>
      <c r="V31">
        <f t="shared" si="1"/>
        <v>4.7393364928909956E-3</v>
      </c>
      <c r="W31" s="25">
        <f>V31*Table22[[#This Row],[2020]]</f>
        <v>-2.4404881516587679E-2</v>
      </c>
      <c r="X31" s="16">
        <f>V31*Table22[[#This Row],[2019]]</f>
        <v>8.1821848341232239E-2</v>
      </c>
      <c r="Y31" s="15">
        <f>V31*Table22[[#This Row],[2018]]</f>
        <v>-3.3326113744075833E-2</v>
      </c>
      <c r="Z31" s="15">
        <f>V31*Table22[[#This Row],[2017]]</f>
        <v>-2.7234350710900475E-2</v>
      </c>
      <c r="AA31" s="24">
        <f>V31*Table22[[#This Row],[2016]]</f>
        <v>-8.4523507109004747E-2</v>
      </c>
    </row>
    <row r="32" spans="1:27" x14ac:dyDescent="0.35">
      <c r="A32" s="83" t="s">
        <v>304</v>
      </c>
      <c r="B32" s="84" t="s">
        <v>801</v>
      </c>
      <c r="C32" s="84" t="str">
        <f>Table22[[#This Row],[Ticker]]&amp; ( "US EQUITY")</f>
        <v>JNJUS EQUITY</v>
      </c>
      <c r="D32" s="85">
        <v>0.53071563204197425</v>
      </c>
      <c r="E32" s="85">
        <v>0.46928436795802569</v>
      </c>
      <c r="F32" s="86">
        <f>_xlfn.XLOOKUP(Table22[[#This Row],[Ticker]],D!B:B,D!D:D,"not found")</f>
        <v>284220000000</v>
      </c>
      <c r="G32" s="87">
        <v>10.85144</v>
      </c>
      <c r="H32" s="88">
        <v>16.209910000000001</v>
      </c>
      <c r="I32" s="89">
        <v>-5.1358100000000002</v>
      </c>
      <c r="J32" s="89">
        <v>24.404610000000002</v>
      </c>
      <c r="K32" s="90">
        <v>15.3224</v>
      </c>
      <c r="N32" s="1">
        <f>D!E30</f>
        <v>3.1485143065263142E-2</v>
      </c>
      <c r="O32" s="25">
        <f>N32*Table22[[#This Row],[2020]]</f>
        <v>0.34165914086411908</v>
      </c>
      <c r="P32" s="16">
        <f>N32*Table22[[#This Row],[2019]]</f>
        <v>0.51037133542503965</v>
      </c>
      <c r="Q32" s="15">
        <f>N32*Table22[[#This Row],[2018]]</f>
        <v>-0.1617017126060091</v>
      </c>
      <c r="R32" s="15">
        <f>N32*Table22[[#This Row],[2017]]</f>
        <v>0.76838263730195155</v>
      </c>
      <c r="S32" s="24">
        <f>N32*Table22[[#This Row],[2016]]</f>
        <v>0.48242795610318795</v>
      </c>
      <c r="V32">
        <f t="shared" si="1"/>
        <v>4.7393364928909956E-3</v>
      </c>
      <c r="W32" s="25">
        <f>V32*Table22[[#This Row],[2020]]</f>
        <v>5.1428625592417065E-2</v>
      </c>
      <c r="X32" s="16">
        <f>V32*Table22[[#This Row],[2019]]</f>
        <v>7.6824218009478681E-2</v>
      </c>
      <c r="Y32" s="15">
        <f>V32*Table22[[#This Row],[2018]]</f>
        <v>-2.4340331753554507E-2</v>
      </c>
      <c r="Z32" s="15">
        <f>V32*Table22[[#This Row],[2017]]</f>
        <v>0.11566165876777253</v>
      </c>
      <c r="AA32" s="24">
        <f>V32*Table22[[#This Row],[2016]]</f>
        <v>7.2618009478672987E-2</v>
      </c>
    </row>
    <row r="33" spans="1:27" x14ac:dyDescent="0.35">
      <c r="A33" s="83" t="s">
        <v>483</v>
      </c>
      <c r="B33" s="84" t="s">
        <v>969</v>
      </c>
      <c r="C33" s="84" t="str">
        <f>Table22[[#This Row],[Ticker]]&amp; ( "US EQUITY")</f>
        <v>VUS EQUITY</v>
      </c>
      <c r="D33" s="85">
        <v>0.52455430595613717</v>
      </c>
      <c r="E33" s="85">
        <v>0.47544569404386289</v>
      </c>
      <c r="F33" s="86">
        <f>_xlfn.XLOOKUP(Table22[[#This Row],[Ticker]],D!B:B,D!D:D,"not found")</f>
        <v>186090000000</v>
      </c>
      <c r="G33" s="87">
        <v>17.130520000000001</v>
      </c>
      <c r="H33" s="88">
        <v>43.319679999999998</v>
      </c>
      <c r="I33" s="89">
        <v>16.480910000000002</v>
      </c>
      <c r="J33" s="89">
        <v>47.173029999999997</v>
      </c>
      <c r="K33" s="90">
        <v>1.367497</v>
      </c>
      <c r="N33" s="1">
        <f>D!E31</f>
        <v>2.0614560104900495E-2</v>
      </c>
      <c r="O33" s="25">
        <f>N33*Table22[[#This Row],[2020]]</f>
        <v>0.35313813416820006</v>
      </c>
      <c r="P33" s="16">
        <f>N33*Table22[[#This Row],[2019]]</f>
        <v>0.89301614708505583</v>
      </c>
      <c r="Q33" s="15">
        <f>N33*Table22[[#This Row],[2018]]</f>
        <v>0.33974670977845567</v>
      </c>
      <c r="R33" s="15">
        <f>N33*Table22[[#This Row],[2017]]</f>
        <v>0.97245126226527412</v>
      </c>
      <c r="S33" s="24">
        <f>N33*Table22[[#This Row],[2016]]</f>
        <v>2.8190349099771111E-2</v>
      </c>
      <c r="V33">
        <f t="shared" si="1"/>
        <v>4.7393364928909956E-3</v>
      </c>
      <c r="W33" s="25">
        <f>V33*Table22[[#This Row],[2020]]</f>
        <v>8.1187298578199063E-2</v>
      </c>
      <c r="X33" s="16">
        <f>V33*Table22[[#This Row],[2019]]</f>
        <v>0.20530654028436018</v>
      </c>
      <c r="Y33" s="15">
        <f>V33*Table22[[#This Row],[2018]]</f>
        <v>7.8108578199052148E-2</v>
      </c>
      <c r="Z33" s="15">
        <f>V33*Table22[[#This Row],[2017]]</f>
        <v>0.22356886255924172</v>
      </c>
      <c r="AA33" s="24">
        <f>V33*Table22[[#This Row],[2016]]</f>
        <v>6.4810284360189577E-3</v>
      </c>
    </row>
    <row r="34" spans="1:27" x14ac:dyDescent="0.35">
      <c r="A34" s="83" t="s">
        <v>190</v>
      </c>
      <c r="B34" s="84" t="s">
        <v>692</v>
      </c>
      <c r="C34" s="84" t="str">
        <f>Table22[[#This Row],[Ticker]]&amp; ( "US EQUITY")</f>
        <v>GLWUS EQUITY</v>
      </c>
      <c r="D34" s="85">
        <v>0.59859164333500992</v>
      </c>
      <c r="E34" s="85">
        <v>0.40140835666499003</v>
      </c>
      <c r="F34" s="86">
        <f>_xlfn.XLOOKUP(Table22[[#This Row],[Ticker]],D!B:B,D!D:D,"not found")</f>
        <v>20660000000</v>
      </c>
      <c r="G34" s="87">
        <v>27.654340000000001</v>
      </c>
      <c r="H34" s="88">
        <v>-1.038367</v>
      </c>
      <c r="I34" s="89">
        <v>-3.2809789999999999</v>
      </c>
      <c r="J34" s="89">
        <v>34.632649999999998</v>
      </c>
      <c r="K34" s="90">
        <v>36.22363</v>
      </c>
      <c r="N34" s="1">
        <f>D!E32</f>
        <v>2.2886603888830361E-3</v>
      </c>
      <c r="O34" s="25">
        <f>N34*Table22[[#This Row],[2020]]</f>
        <v>6.3291392538703709E-2</v>
      </c>
      <c r="P34" s="16">
        <f>N34*Table22[[#This Row],[2019]]</f>
        <v>-2.3764694220233117E-3</v>
      </c>
      <c r="Q34" s="15">
        <f>N34*Table22[[#This Row],[2018]]</f>
        <v>-7.509046674057075E-3</v>
      </c>
      <c r="R34" s="15">
        <f>N34*Table22[[#This Row],[2017]]</f>
        <v>7.9262374217050083E-2</v>
      </c>
      <c r="S34" s="24">
        <f>N34*Table22[[#This Row],[2016]]</f>
        <v>8.2903587122555217E-2</v>
      </c>
      <c r="V34">
        <f t="shared" si="1"/>
        <v>4.7393364928909956E-3</v>
      </c>
      <c r="W34" s="25">
        <f>V34*Table22[[#This Row],[2020]]</f>
        <v>0.13106322274881518</v>
      </c>
      <c r="X34" s="16">
        <f>V34*Table22[[#This Row],[2019]]</f>
        <v>-4.921170616113745E-3</v>
      </c>
      <c r="Y34" s="15">
        <f>V34*Table22[[#This Row],[2018]]</f>
        <v>-1.5549663507109006E-2</v>
      </c>
      <c r="Z34" s="15">
        <f>V34*Table22[[#This Row],[2017]]</f>
        <v>0.16413578199052134</v>
      </c>
      <c r="AA34" s="24">
        <f>V34*Table22[[#This Row],[2016]]</f>
        <v>0.17167597156398107</v>
      </c>
    </row>
    <row r="35" spans="1:27" x14ac:dyDescent="0.35">
      <c r="A35" s="83" t="s">
        <v>64</v>
      </c>
      <c r="B35" s="84" t="s">
        <v>571</v>
      </c>
      <c r="C35" s="84" t="str">
        <f>Table22[[#This Row],[Ticker]]&amp; ( "US EQUITY")</f>
        <v>HPQUS EQUITY</v>
      </c>
      <c r="D35" s="85">
        <v>0.55263602251407129</v>
      </c>
      <c r="E35" s="85">
        <v>0.44736397748592871</v>
      </c>
      <c r="F35" s="86">
        <f>_xlfn.XLOOKUP(Table22[[#This Row],[Ticker]],D!B:B,D!D:D,"not found")</f>
        <v>20910000000</v>
      </c>
      <c r="G35" s="87">
        <v>24.058820000000001</v>
      </c>
      <c r="H35" s="88">
        <v>3.8605330000000002</v>
      </c>
      <c r="I35" s="89">
        <v>-0.20567769999999999</v>
      </c>
      <c r="J35" s="89">
        <v>45.668669999999999</v>
      </c>
      <c r="K35" s="90">
        <v>30.09403</v>
      </c>
      <c r="N35" s="1">
        <f>D!E33</f>
        <v>2.3163547304716498E-3</v>
      </c>
      <c r="O35" s="25">
        <f>N35*Table22[[#This Row],[2020]]</f>
        <v>5.5728761516565938E-2</v>
      </c>
      <c r="P35" s="16">
        <f>N35*Table22[[#This Row],[2019]]</f>
        <v>8.9423638766919101E-3</v>
      </c>
      <c r="Q35" s="15">
        <f>N35*Table22[[#This Row],[2018]]</f>
        <v>-4.7642251334752882E-4</v>
      </c>
      <c r="R35" s="15">
        <f>N35*Table22[[#This Row],[2017]]</f>
        <v>0.10578483978884871</v>
      </c>
      <c r="S35" s="24">
        <f>N35*Table22[[#This Row],[2016]]</f>
        <v>6.970844874945574E-2</v>
      </c>
      <c r="V35">
        <f t="shared" si="1"/>
        <v>4.7393364928909956E-3</v>
      </c>
      <c r="W35" s="25">
        <f>V35*Table22[[#This Row],[2020]]</f>
        <v>0.11402284360189574</v>
      </c>
      <c r="X35" s="16">
        <f>V35*Table22[[#This Row],[2019]]</f>
        <v>1.8296364928909955E-2</v>
      </c>
      <c r="Y35" s="15">
        <f>V35*Table22[[#This Row],[2018]]</f>
        <v>-9.7477582938388632E-4</v>
      </c>
      <c r="Z35" s="15">
        <f>V35*Table22[[#This Row],[2017]]</f>
        <v>0.21643919431279621</v>
      </c>
      <c r="AA35" s="24">
        <f>V35*Table22[[#This Row],[2016]]</f>
        <v>0.14262573459715641</v>
      </c>
    </row>
    <row r="36" spans="1:27" x14ac:dyDescent="0.35">
      <c r="A36" s="83" t="s">
        <v>273</v>
      </c>
      <c r="B36" s="84" t="s">
        <v>771</v>
      </c>
      <c r="C36" s="84" t="str">
        <f>Table22[[#This Row],[Ticker]]&amp; ( "US EQUITY")</f>
        <v>HPEUS EQUITY</v>
      </c>
      <c r="D36" s="85">
        <v>0.55263602251407129</v>
      </c>
      <c r="E36" s="85">
        <v>0.44736397748592871</v>
      </c>
      <c r="F36" s="86">
        <f>_xlfn.XLOOKUP(Table22[[#This Row],[Ticker]],D!B:B,D!D:D,"not found")</f>
        <v>26490000000</v>
      </c>
      <c r="G36" s="87">
        <v>-21.945699999999999</v>
      </c>
      <c r="H36" s="88">
        <v>23.736039999999999</v>
      </c>
      <c r="I36" s="89">
        <v>-5.6340159999999999</v>
      </c>
      <c r="J36" s="89">
        <v>8.6035730000000008</v>
      </c>
      <c r="K36" s="90">
        <v>54.00056</v>
      </c>
      <c r="N36" s="1">
        <f>D!E34</f>
        <v>2.9344924347295075E-3</v>
      </c>
      <c r="O36" s="25">
        <f>N36*Table22[[#This Row],[2020]]</f>
        <v>-6.4399490624843347E-2</v>
      </c>
      <c r="P36" s="16">
        <f>N36*Table22[[#This Row],[2019]]</f>
        <v>6.9653229810436978E-2</v>
      </c>
      <c r="Q36" s="15">
        <f>N36*Table22[[#This Row],[2018]]</f>
        <v>-1.6532977329145E-2</v>
      </c>
      <c r="R36" s="15">
        <f>N36*Table22[[#This Row],[2017]]</f>
        <v>2.5247119880143054E-2</v>
      </c>
      <c r="S36" s="24">
        <f>N36*Table22[[#This Row],[2016]]</f>
        <v>0.15846423479115684</v>
      </c>
      <c r="V36">
        <f t="shared" si="1"/>
        <v>4.7393364928909956E-3</v>
      </c>
      <c r="W36" s="25">
        <f>V36*Table22[[#This Row],[2020]]</f>
        <v>-0.10400805687203792</v>
      </c>
      <c r="X36" s="16">
        <f>V36*Table22[[#This Row],[2019]]</f>
        <v>0.11249308056872039</v>
      </c>
      <c r="Y36" s="15">
        <f>V36*Table22[[#This Row],[2018]]</f>
        <v>-2.6701497630331757E-2</v>
      </c>
      <c r="Z36" s="15">
        <f>V36*Table22[[#This Row],[2017]]</f>
        <v>4.0775227488151669E-2</v>
      </c>
      <c r="AA36" s="24">
        <f>V36*Table22[[#This Row],[2016]]</f>
        <v>0.2559268246445498</v>
      </c>
    </row>
    <row r="37" spans="1:27" x14ac:dyDescent="0.35">
      <c r="A37" s="83" t="s">
        <v>132</v>
      </c>
      <c r="B37" s="84" t="s">
        <v>636</v>
      </c>
      <c r="C37" s="84" t="str">
        <f>Table22[[#This Row],[Ticker]]&amp; ( "US EQUITY")</f>
        <v>BKUS EQUITY</v>
      </c>
      <c r="D37" s="85">
        <v>0.578958652180532</v>
      </c>
      <c r="E37" s="85">
        <v>0.421041347819468</v>
      </c>
      <c r="F37" s="86">
        <f>_xlfn.XLOOKUP(Table22[[#This Row],[Ticker]],D!B:B,D!D:D,"not found")</f>
        <v>44740000000</v>
      </c>
      <c r="G37" s="87">
        <v>-12.9101</v>
      </c>
      <c r="H37" s="88">
        <v>9.5393070000000009</v>
      </c>
      <c r="I37" s="89">
        <v>-10.85201</v>
      </c>
      <c r="J37" s="89">
        <v>15.67731</v>
      </c>
      <c r="K37" s="90">
        <v>17.039819999999999</v>
      </c>
      <c r="N37" s="1">
        <f>D!E35</f>
        <v>4.9561793706983078E-3</v>
      </c>
      <c r="O37" s="25">
        <f>N37*Table22[[#This Row],[2020]]</f>
        <v>-6.3984771293652223E-2</v>
      </c>
      <c r="P37" s="16">
        <f>N37*Table22[[#This Row],[2019]]</f>
        <v>4.727851656415797E-2</v>
      </c>
      <c r="Q37" s="15">
        <f>N37*Table22[[#This Row],[2018]]</f>
        <v>-5.3784508092611739E-2</v>
      </c>
      <c r="R37" s="15">
        <f>N37*Table22[[#This Row],[2017]]</f>
        <v>7.7699560410042293E-2</v>
      </c>
      <c r="S37" s="24">
        <f>N37*Table22[[#This Row],[2016]]</f>
        <v>8.4452404364412439E-2</v>
      </c>
      <c r="V37">
        <f t="shared" si="1"/>
        <v>4.7393364928909956E-3</v>
      </c>
      <c r="W37" s="25">
        <f>V37*Table22[[#This Row],[2020]]</f>
        <v>-6.1185308056872043E-2</v>
      </c>
      <c r="X37" s="16">
        <f>V37*Table22[[#This Row],[2019]]</f>
        <v>4.5209985781990529E-2</v>
      </c>
      <c r="Y37" s="15">
        <f>V37*Table22[[#This Row],[2018]]</f>
        <v>-5.1431327014218015E-2</v>
      </c>
      <c r="Z37" s="15">
        <f>V37*Table22[[#This Row],[2017]]</f>
        <v>7.4300047393364932E-2</v>
      </c>
      <c r="AA37" s="24">
        <f>V37*Table22[[#This Row],[2016]]</f>
        <v>8.0757440758293844E-2</v>
      </c>
    </row>
    <row r="38" spans="1:27" x14ac:dyDescent="0.35">
      <c r="A38" s="83" t="s">
        <v>274</v>
      </c>
      <c r="B38" s="84" t="s">
        <v>772</v>
      </c>
      <c r="C38" s="84" t="str">
        <f>Table22[[#This Row],[Ticker]]&amp; ( "US EQUITY")</f>
        <v>HLTUS EQUITY</v>
      </c>
      <c r="D38" s="85">
        <v>0.58961446012373153</v>
      </c>
      <c r="E38" s="85">
        <v>0.41038553987626847</v>
      </c>
      <c r="F38" s="86">
        <f>_xlfn.XLOOKUP(Table22[[#This Row],[Ticker]],D!B:B,D!D:D,"not found")</f>
        <v>21130000000</v>
      </c>
      <c r="G38" s="87">
        <v>0.47259329999999999</v>
      </c>
      <c r="H38" s="88">
        <v>55.474490000000003</v>
      </c>
      <c r="I38" s="89">
        <v>-9.393364</v>
      </c>
      <c r="J38" s="89">
        <v>44.467930000000003</v>
      </c>
      <c r="K38" s="90">
        <v>28.699719999999999</v>
      </c>
      <c r="N38" s="1">
        <f>D!E36</f>
        <v>2.3407257510696298E-3</v>
      </c>
      <c r="O38" s="25">
        <f>N38*Table22[[#This Row],[2020]]</f>
        <v>1.1062113070929749E-3</v>
      </c>
      <c r="P38" s="16">
        <f>N38*Table22[[#This Row],[2019]]</f>
        <v>0.12985056727045466</v>
      </c>
      <c r="Q38" s="15">
        <f>N38*Table22[[#This Row],[2018]]</f>
        <v>-2.1987289003970421E-2</v>
      </c>
      <c r="R38" s="15">
        <f>N38*Table22[[#This Row],[2017]]</f>
        <v>0.10408722884776173</v>
      </c>
      <c r="S38" s="24">
        <f>N38*Table22[[#This Row],[2016]]</f>
        <v>6.7178173652488071E-2</v>
      </c>
      <c r="V38">
        <f t="shared" si="1"/>
        <v>4.7393364928909956E-3</v>
      </c>
      <c r="W38" s="25">
        <f>V38*Table22[[#This Row],[2020]]</f>
        <v>2.2397786729857821E-3</v>
      </c>
      <c r="X38" s="16">
        <f>V38*Table22[[#This Row],[2019]]</f>
        <v>0.26291227488151664</v>
      </c>
      <c r="Y38" s="15">
        <f>V38*Table22[[#This Row],[2018]]</f>
        <v>-4.4518312796208534E-2</v>
      </c>
      <c r="Z38" s="15">
        <f>V38*Table22[[#This Row],[2017]]</f>
        <v>0.2107484834123223</v>
      </c>
      <c r="AA38" s="24">
        <f>V38*Table22[[#This Row],[2016]]</f>
        <v>0.13601763033175357</v>
      </c>
    </row>
    <row r="39" spans="1:27" x14ac:dyDescent="0.35">
      <c r="A39" s="83" t="s">
        <v>206</v>
      </c>
      <c r="B39" s="84" t="s">
        <v>708</v>
      </c>
      <c r="C39" s="84" t="str">
        <f>Table22[[#This Row],[Ticker]]&amp; ( "US EQUITY")</f>
        <v>DFSUS EQUITY</v>
      </c>
      <c r="D39" s="85">
        <v>0.69485381066104013</v>
      </c>
      <c r="E39" s="85">
        <v>0.30514618933895987</v>
      </c>
      <c r="F39" s="86">
        <f>_xlfn.XLOOKUP(Table22[[#This Row],[Ticker]],D!B:B,D!D:D,"not found")</f>
        <v>22610000000</v>
      </c>
      <c r="G39" s="87">
        <v>10.0778</v>
      </c>
      <c r="H39" s="88">
        <v>46.948349999999998</v>
      </c>
      <c r="I39" s="89">
        <v>-21.78378</v>
      </c>
      <c r="J39" s="89">
        <v>8.9079859999999993</v>
      </c>
      <c r="K39" s="90">
        <v>37.430050000000001</v>
      </c>
      <c r="N39" s="1">
        <f>D!E37</f>
        <v>2.5046762532742232E-3</v>
      </c>
      <c r="O39" s="25">
        <f>N39*Table22[[#This Row],[2020]]</f>
        <v>2.5241626345246966E-2</v>
      </c>
      <c r="P39" s="16">
        <f>N39*Table22[[#This Row],[2019]]</f>
        <v>0.11759041737540687</v>
      </c>
      <c r="Q39" s="15">
        <f>N39*Table22[[#This Row],[2018]]</f>
        <v>-5.4561316472549956E-2</v>
      </c>
      <c r="R39" s="15">
        <f>N39*Table22[[#This Row],[2017]]</f>
        <v>2.2311620998699232E-2</v>
      </c>
      <c r="S39" s="24">
        <f>N39*Table22[[#This Row],[2016]]</f>
        <v>9.3750157393866843E-2</v>
      </c>
      <c r="V39">
        <f t="shared" si="1"/>
        <v>4.7393364928909956E-3</v>
      </c>
      <c r="W39" s="25">
        <f>V39*Table22[[#This Row],[2020]]</f>
        <v>4.7762085308056874E-2</v>
      </c>
      <c r="X39" s="16">
        <f>V39*Table22[[#This Row],[2019]]</f>
        <v>0.22250402843601896</v>
      </c>
      <c r="Y39" s="15">
        <f>V39*Table22[[#This Row],[2018]]</f>
        <v>-0.10324066350710902</v>
      </c>
      <c r="Z39" s="15">
        <f>V39*Table22[[#This Row],[2017]]</f>
        <v>4.2217943127962086E-2</v>
      </c>
      <c r="AA39" s="24">
        <f>V39*Table22[[#This Row],[2016]]</f>
        <v>0.17739360189573461</v>
      </c>
    </row>
    <row r="40" spans="1:27" x14ac:dyDescent="0.35">
      <c r="A40" s="83" t="s">
        <v>335</v>
      </c>
      <c r="B40" s="84" t="s">
        <v>832</v>
      </c>
      <c r="C40" s="84" t="str">
        <f>Table22[[#This Row],[Ticker]]&amp; ( "US EQUITY")</f>
        <v>MMCUS EQUITY</v>
      </c>
      <c r="D40" s="85">
        <v>0.53553564865858139</v>
      </c>
      <c r="E40" s="85">
        <v>0.46446435134141861</v>
      </c>
      <c r="F40" s="86">
        <f>_xlfn.XLOOKUP(Table22[[#This Row],[Ticker]],D!B:B,D!D:D,"not found")</f>
        <v>28940000000</v>
      </c>
      <c r="G40" s="87">
        <v>6.8443889999999996</v>
      </c>
      <c r="H40" s="88">
        <v>42.330219999999997</v>
      </c>
      <c r="I40" s="89">
        <v>-0.12791749999999999</v>
      </c>
      <c r="J40" s="89">
        <v>22.71668</v>
      </c>
      <c r="K40" s="90">
        <v>24.517990000000001</v>
      </c>
      <c r="N40" s="1">
        <f>D!E38</f>
        <v>3.205896982297922E-3</v>
      </c>
      <c r="O40" s="25">
        <f>N40*Table22[[#This Row],[2020]]</f>
        <v>2.1942406040773091E-2</v>
      </c>
      <c r="P40" s="16">
        <f>N40*Table22[[#This Row],[2019]]</f>
        <v>0.13570632455800713</v>
      </c>
      <c r="Q40" s="15">
        <f>N40*Table22[[#This Row],[2018]]</f>
        <v>-4.1009032723309441E-4</v>
      </c>
      <c r="R40" s="15">
        <f>N40*Table22[[#This Row],[2017]]</f>
        <v>7.2827335859827563E-2</v>
      </c>
      <c r="S40" s="24">
        <f>N40*Table22[[#This Row],[2016]]</f>
        <v>7.8602150153010628E-2</v>
      </c>
      <c r="V40">
        <f t="shared" si="1"/>
        <v>4.7393364928909956E-3</v>
      </c>
      <c r="W40" s="25">
        <f>V40*Table22[[#This Row],[2020]]</f>
        <v>3.2437862559241706E-2</v>
      </c>
      <c r="X40" s="16">
        <f>V40*Table22[[#This Row],[2019]]</f>
        <v>0.20061715639810426</v>
      </c>
      <c r="Y40" s="15">
        <f>V40*Table22[[#This Row],[2018]]</f>
        <v>-6.0624407582938393E-4</v>
      </c>
      <c r="Z40" s="15">
        <f>V40*Table22[[#This Row],[2017]]</f>
        <v>0.10766199052132702</v>
      </c>
      <c r="AA40" s="24">
        <f>V40*Table22[[#This Row],[2016]]</f>
        <v>0.1161990047393365</v>
      </c>
    </row>
    <row r="41" spans="1:27" x14ac:dyDescent="0.35">
      <c r="A41" s="83" t="s">
        <v>71</v>
      </c>
      <c r="B41" s="84" t="s">
        <v>577</v>
      </c>
      <c r="C41" s="84" t="str">
        <f>Table22[[#This Row],[Ticker]]&amp; ( "US EQUITY")</f>
        <v>DISCAUS EQUITY</v>
      </c>
      <c r="D41" s="85">
        <v>0.98095965728240586</v>
      </c>
      <c r="E41" s="85">
        <v>1.9040342717594118E-2</v>
      </c>
      <c r="F41" s="86">
        <f>_xlfn.XLOOKUP(Table22[[#This Row],[Ticker]],D!B:B,D!D:D,"not found")</f>
        <v>10770000000</v>
      </c>
      <c r="G41" s="87">
        <v>-8.0940670000000008</v>
      </c>
      <c r="H41" s="88">
        <v>32.336300000000001</v>
      </c>
      <c r="I41" s="89">
        <v>10.545109999999999</v>
      </c>
      <c r="J41" s="89">
        <v>-18.35097</v>
      </c>
      <c r="K41" s="90">
        <v>2.7361270000000002</v>
      </c>
      <c r="N41" s="1">
        <f>D!E39</f>
        <v>1.1930722356374782E-3</v>
      </c>
      <c r="O41" s="25">
        <f>N41*Table22[[#This Row],[2020]]</f>
        <v>-9.656806611089537E-3</v>
      </c>
      <c r="P41" s="16">
        <f>N41*Table22[[#This Row],[2019]]</f>
        <v>3.857954173324419E-2</v>
      </c>
      <c r="Q41" s="15">
        <f>N41*Table22[[#This Row],[2018]]</f>
        <v>1.2581077962743126E-2</v>
      </c>
      <c r="R41" s="15">
        <f>N41*Table22[[#This Row],[2017]]</f>
        <v>-2.1894032804016292E-2</v>
      </c>
      <c r="S41" s="24">
        <f>N41*Table22[[#This Row],[2016]]</f>
        <v>3.2643971568780666E-3</v>
      </c>
      <c r="V41">
        <f t="shared" si="1"/>
        <v>4.7393364928909956E-3</v>
      </c>
      <c r="W41" s="25">
        <f>V41*Table22[[#This Row],[2020]]</f>
        <v>-3.8360507109004745E-2</v>
      </c>
      <c r="X41" s="16">
        <f>V41*Table22[[#This Row],[2019]]</f>
        <v>0.15325260663507112</v>
      </c>
      <c r="Y41" s="15">
        <f>V41*Table22[[#This Row],[2018]]</f>
        <v>4.9976824644549764E-2</v>
      </c>
      <c r="Z41" s="15">
        <f>V41*Table22[[#This Row],[2017]]</f>
        <v>-8.6971421800947871E-2</v>
      </c>
      <c r="AA41" s="24">
        <f>V41*Table22[[#This Row],[2016]]</f>
        <v>1.2967426540284361E-2</v>
      </c>
    </row>
    <row r="42" spans="1:27" x14ac:dyDescent="0.35">
      <c r="A42" s="83" t="s">
        <v>340</v>
      </c>
      <c r="B42" s="84" t="s">
        <v>837</v>
      </c>
      <c r="C42" s="84" t="str">
        <f>Table22[[#This Row],[Ticker]]&amp; ( "US EQUITY")</f>
        <v>MDTUS EQUITY</v>
      </c>
      <c r="D42" s="85">
        <v>0.56840949422093168</v>
      </c>
      <c r="E42" s="85">
        <v>0.43159050577906838</v>
      </c>
      <c r="F42" s="86">
        <f>_xlfn.XLOOKUP(Table22[[#This Row],[Ticker]],D!B:B,D!D:D,"not found")</f>
        <v>108160000000</v>
      </c>
      <c r="G42" s="87">
        <v>5.6683779999999997</v>
      </c>
      <c r="H42" s="88">
        <v>27.334320000000002</v>
      </c>
      <c r="I42" s="89">
        <v>15.188650000000001</v>
      </c>
      <c r="J42" s="89">
        <v>15.88646</v>
      </c>
      <c r="K42" s="90">
        <v>-5.4414220000000002</v>
      </c>
      <c r="N42" s="1">
        <f>D!E40</f>
        <v>1.1981679944897832E-2</v>
      </c>
      <c r="O42" s="25">
        <f>N42*Table22[[#This Row],[2020]]</f>
        <v>6.7916691002700078E-2</v>
      </c>
      <c r="P42" s="16">
        <f>N42*Table22[[#This Row],[2019]]</f>
        <v>0.32751107375141975</v>
      </c>
      <c r="Q42" s="15">
        <f>N42*Table22[[#This Row],[2018]]</f>
        <v>0.18198554309507248</v>
      </c>
      <c r="R42" s="15">
        <f>N42*Table22[[#This Row],[2017]]</f>
        <v>0.19034647917742162</v>
      </c>
      <c r="S42" s="24">
        <f>N42*Table22[[#This Row],[2016]]</f>
        <v>-6.5197376849125854E-2</v>
      </c>
      <c r="V42">
        <f t="shared" si="1"/>
        <v>4.7393364928909956E-3</v>
      </c>
      <c r="W42" s="25">
        <f>V42*Table22[[#This Row],[2020]]</f>
        <v>2.6864350710900476E-2</v>
      </c>
      <c r="X42" s="16">
        <f>V42*Table22[[#This Row],[2019]]</f>
        <v>0.12954654028436022</v>
      </c>
      <c r="Y42" s="15">
        <f>V42*Table22[[#This Row],[2018]]</f>
        <v>7.198412322274883E-2</v>
      </c>
      <c r="Z42" s="15">
        <f>V42*Table22[[#This Row],[2017]]</f>
        <v>7.529127962085308E-2</v>
      </c>
      <c r="AA42" s="24">
        <f>V42*Table22[[#This Row],[2016]]</f>
        <v>-2.5788729857819909E-2</v>
      </c>
    </row>
    <row r="43" spans="1:27" x14ac:dyDescent="0.35">
      <c r="A43" s="83" t="s">
        <v>334</v>
      </c>
      <c r="B43" s="84" t="s">
        <v>831</v>
      </c>
      <c r="C43" s="84" t="str">
        <f>Table22[[#This Row],[Ticker]]&amp; ( "US EQUITY")</f>
        <v>MARUS EQUITY</v>
      </c>
      <c r="D43" s="85">
        <v>0.54692586259296017</v>
      </c>
      <c r="E43" s="85">
        <v>0.45307413740703989</v>
      </c>
      <c r="F43" s="86">
        <f>_xlfn.XLOOKUP(Table22[[#This Row],[Ticker]],D!B:B,D!D:D,"not found")</f>
        <v>17180000000</v>
      </c>
      <c r="G43" s="87">
        <v>-12.534319999999999</v>
      </c>
      <c r="H43" s="88">
        <v>41.523789999999998</v>
      </c>
      <c r="I43" s="89">
        <v>-19.039549999999998</v>
      </c>
      <c r="J43" s="89">
        <v>66.220410000000001</v>
      </c>
      <c r="K43" s="90">
        <v>25.37649</v>
      </c>
      <c r="N43" s="1">
        <f>D!E41</f>
        <v>1.9031551539695334E-3</v>
      </c>
      <c r="O43" s="25">
        <f>N43*Table22[[#This Row],[2020]]</f>
        <v>-2.3854755709503402E-2</v>
      </c>
      <c r="P43" s="16">
        <f>N43*Table22[[#This Row],[2019]]</f>
        <v>7.9026214950848564E-2</v>
      </c>
      <c r="Q43" s="15">
        <f>N43*Table22[[#This Row],[2018]]</f>
        <v>-3.623521771176063E-2</v>
      </c>
      <c r="R43" s="15">
        <f>N43*Table22[[#This Row],[2017]]</f>
        <v>0.12602771458947562</v>
      </c>
      <c r="S43" s="24">
        <f>N43*Table22[[#This Row],[2016]]</f>
        <v>4.8295397733156324E-2</v>
      </c>
      <c r="V43">
        <f t="shared" si="1"/>
        <v>4.7393364928909956E-3</v>
      </c>
      <c r="W43" s="25">
        <f>V43*Table22[[#This Row],[2020]]</f>
        <v>-5.9404360189573457E-2</v>
      </c>
      <c r="X43" s="16">
        <f>V43*Table22[[#This Row],[2019]]</f>
        <v>0.19679521327014218</v>
      </c>
      <c r="Y43" s="15">
        <f>V43*Table22[[#This Row],[2018]]</f>
        <v>-9.0234834123222751E-2</v>
      </c>
      <c r="Z43" s="15">
        <f>V43*Table22[[#This Row],[2017]]</f>
        <v>0.31384080568720379</v>
      </c>
      <c r="AA43" s="24">
        <f>V43*Table22[[#This Row],[2016]]</f>
        <v>0.12026772511848342</v>
      </c>
    </row>
    <row r="44" spans="1:27" x14ac:dyDescent="0.35">
      <c r="A44" s="83" t="s">
        <v>397</v>
      </c>
      <c r="B44" s="84" t="s">
        <v>893</v>
      </c>
      <c r="C44" s="84" t="str">
        <f>Table22[[#This Row],[Ticker]]&amp; ( "US EQUITY")</f>
        <v>PGUS EQUITY</v>
      </c>
      <c r="D44" s="85">
        <v>0.52958942092353634</v>
      </c>
      <c r="E44" s="85">
        <v>0.47041057907646366</v>
      </c>
      <c r="F44" s="86">
        <f>_xlfn.XLOOKUP(Table22[[#This Row],[Ticker]],D!B:B,D!D:D,"not found")</f>
        <v>214770000000</v>
      </c>
      <c r="G44" s="87">
        <v>14.149620000000001</v>
      </c>
      <c r="H44" s="88">
        <v>39.698169999999998</v>
      </c>
      <c r="I44" s="89">
        <v>3.6182759999999998</v>
      </c>
      <c r="J44" s="89">
        <v>12.694430000000001</v>
      </c>
      <c r="K44" s="90">
        <v>9.3727350000000005</v>
      </c>
      <c r="N44" s="1">
        <f>D!E42</f>
        <v>2.3791654971946258E-2</v>
      </c>
      <c r="O44" s="25">
        <f>N44*Table22[[#This Row],[2020]]</f>
        <v>0.33664287702415024</v>
      </c>
      <c r="P44" s="16">
        <f>N44*Table22[[#This Row],[2019]]</f>
        <v>0.94448516365766777</v>
      </c>
      <c r="Q44" s="15">
        <f>N44*Table22[[#This Row],[2018]]</f>
        <v>8.6084774185273813E-2</v>
      </c>
      <c r="R44" s="15">
        <f>N44*Table22[[#This Row],[2017]]</f>
        <v>0.30202149862552374</v>
      </c>
      <c r="S44" s="24">
        <f>N44*Table22[[#This Row],[2016]]</f>
        <v>0.22299287726348474</v>
      </c>
      <c r="V44">
        <f t="shared" si="1"/>
        <v>4.7393364928909956E-3</v>
      </c>
      <c r="W44" s="25">
        <f>V44*Table22[[#This Row],[2020]]</f>
        <v>6.7059810426540287E-2</v>
      </c>
      <c r="X44" s="16">
        <f>V44*Table22[[#This Row],[2019]]</f>
        <v>0.18814298578199051</v>
      </c>
      <c r="Y44" s="15">
        <f>V44*Table22[[#This Row],[2018]]</f>
        <v>1.714822748815166E-2</v>
      </c>
      <c r="Z44" s="15">
        <f>V44*Table22[[#This Row],[2017]]</f>
        <v>6.0163175355450245E-2</v>
      </c>
      <c r="AA44" s="24">
        <f>V44*Table22[[#This Row],[2016]]</f>
        <v>4.4420545023696689E-2</v>
      </c>
    </row>
    <row r="45" spans="1:27" x14ac:dyDescent="0.35">
      <c r="A45" s="83" t="s">
        <v>294</v>
      </c>
      <c r="B45" s="84" t="s">
        <v>791</v>
      </c>
      <c r="C45" s="84" t="str">
        <f>Table22[[#This Row],[Ticker]]&amp; ( "US EQUITY")</f>
        <v>INTUUS EQUITY</v>
      </c>
      <c r="D45" s="85">
        <v>0.6003942876961551</v>
      </c>
      <c r="E45" s="85">
        <v>0.3996057123038449</v>
      </c>
      <c r="F45" s="86">
        <f>_xlfn.XLOOKUP(Table22[[#This Row],[Ticker]],D!B:B,D!D:D,"not found")</f>
        <v>25480000000</v>
      </c>
      <c r="G45" s="87">
        <v>46.112250000000003</v>
      </c>
      <c r="H45" s="88">
        <v>34.112090000000002</v>
      </c>
      <c r="I45" s="89">
        <v>25.848210000000002</v>
      </c>
      <c r="J45" s="89">
        <v>39.200470000000003</v>
      </c>
      <c r="K45" s="90">
        <v>20.176020000000001</v>
      </c>
      <c r="N45" s="1">
        <f>D!E43</f>
        <v>2.8226072947115082E-3</v>
      </c>
      <c r="O45" s="25">
        <f>N45*Table22[[#This Row],[2020]]</f>
        <v>0.13015677322556074</v>
      </c>
      <c r="P45" s="16">
        <f>N45*Table22[[#This Row],[2019]]</f>
        <v>9.6285034071855499E-2</v>
      </c>
      <c r="Q45" s="15">
        <f>N45*Table22[[#This Row],[2018]]</f>
        <v>7.2959346101234959E-2</v>
      </c>
      <c r="R45" s="15">
        <f>N45*Table22[[#This Row],[2017]]</f>
        <v>0.11064753257811964</v>
      </c>
      <c r="S45" s="24">
        <f>N45*Table22[[#This Row],[2016]]</f>
        <v>5.6948981230245284E-2</v>
      </c>
      <c r="V45">
        <f t="shared" si="1"/>
        <v>4.7393364928909956E-3</v>
      </c>
      <c r="W45" s="25">
        <f>V45*Table22[[#This Row],[2020]]</f>
        <v>0.21854146919431283</v>
      </c>
      <c r="X45" s="16">
        <f>V45*Table22[[#This Row],[2019]]</f>
        <v>0.16166867298578202</v>
      </c>
      <c r="Y45" s="15">
        <f>V45*Table22[[#This Row],[2018]]</f>
        <v>0.12250336492890997</v>
      </c>
      <c r="Z45" s="15">
        <f>V45*Table22[[#This Row],[2017]]</f>
        <v>0.1857842180094787</v>
      </c>
      <c r="AA45" s="24">
        <f>V45*Table22[[#This Row],[2016]]</f>
        <v>9.5620947867298592E-2</v>
      </c>
    </row>
    <row r="46" spans="1:27" x14ac:dyDescent="0.35">
      <c r="A46" s="83" t="s">
        <v>488</v>
      </c>
      <c r="B46" s="84" t="s">
        <v>972</v>
      </c>
      <c r="C46" s="84" t="str">
        <f>Table22[[#This Row],[Ticker]]&amp; ( "US EQUITY")</f>
        <v>WBAUS EQUITY</v>
      </c>
      <c r="D46" s="85">
        <v>0.59766502321049886</v>
      </c>
      <c r="E46" s="85">
        <v>0.4023349767895012</v>
      </c>
      <c r="F46" s="86">
        <f>_xlfn.XLOOKUP(Table22[[#This Row],[Ticker]],D!B:B,D!D:D,"not found")</f>
        <v>91860000000</v>
      </c>
      <c r="G46" s="87">
        <v>-29.333919999999999</v>
      </c>
      <c r="H46" s="88">
        <v>-11.022410000000001</v>
      </c>
      <c r="I46" s="89">
        <v>-3.674299</v>
      </c>
      <c r="J46" s="89">
        <v>-10.52966</v>
      </c>
      <c r="K46" s="90">
        <v>-1.020324</v>
      </c>
      <c r="N46" s="1">
        <f>D!E44</f>
        <v>1.0176008873320219E-2</v>
      </c>
      <c r="O46" s="25">
        <f>N46*Table22[[#This Row],[2020]]</f>
        <v>-0.29850223020926542</v>
      </c>
      <c r="P46" s="16">
        <f>N46*Table22[[#This Row],[2019]]</f>
        <v>-0.11216414196537351</v>
      </c>
      <c r="Q46" s="15">
        <f>N46*Table22[[#This Row],[2018]]</f>
        <v>-3.7389699227231607E-2</v>
      </c>
      <c r="R46" s="15">
        <f>N46*Table22[[#This Row],[2017]]</f>
        <v>-0.10714991359304497</v>
      </c>
      <c r="S46" s="24">
        <f>N46*Table22[[#This Row],[2016]]</f>
        <v>-1.0382826077661578E-2</v>
      </c>
      <c r="V46">
        <f t="shared" si="1"/>
        <v>4.7393364928909956E-3</v>
      </c>
      <c r="W46" s="25">
        <f>V46*Table22[[#This Row],[2020]]</f>
        <v>-0.13902331753554503</v>
      </c>
      <c r="X46" s="16">
        <f>V46*Table22[[#This Row],[2019]]</f>
        <v>-5.2238909952606639E-2</v>
      </c>
      <c r="Y46" s="15">
        <f>V46*Table22[[#This Row],[2018]]</f>
        <v>-1.7413739336492894E-2</v>
      </c>
      <c r="Z46" s="15">
        <f>V46*Table22[[#This Row],[2017]]</f>
        <v>-4.9903601895734603E-2</v>
      </c>
      <c r="AA46" s="24">
        <f>V46*Table22[[#This Row],[2016]]</f>
        <v>-4.8356587677725119E-3</v>
      </c>
    </row>
    <row r="47" spans="1:27" x14ac:dyDescent="0.35">
      <c r="A47" s="83" t="s">
        <v>481</v>
      </c>
      <c r="B47" s="84" t="s">
        <v>967</v>
      </c>
      <c r="C47" s="84" t="str">
        <f>Table22[[#This Row],[Ticker]]&amp; ( "US EQUITY")</f>
        <v>VIACUS EQUITY</v>
      </c>
      <c r="D47" s="85">
        <v>0.67178499847912554</v>
      </c>
      <c r="E47" s="85">
        <v>0.32821500152087441</v>
      </c>
      <c r="F47" s="86">
        <f>_xlfn.XLOOKUP(Table22[[#This Row],[Ticker]],D!B:B,D!D:D,"not found")</f>
        <v>22010000000</v>
      </c>
      <c r="G47" s="87">
        <v>-7.6091410000000002</v>
      </c>
      <c r="H47" s="88">
        <v>-2.3392979999999999</v>
      </c>
      <c r="I47" s="89">
        <v>-24.87227</v>
      </c>
      <c r="J47" s="89">
        <v>-6.1723949999999999</v>
      </c>
      <c r="K47" s="90">
        <v>36.607199999999999</v>
      </c>
      <c r="N47" s="1">
        <f>D!E45</f>
        <v>2.43820983346155E-3</v>
      </c>
      <c r="O47" s="25">
        <f>N47*Table22[[#This Row],[2020]]</f>
        <v>-1.8552682410395451E-2</v>
      </c>
      <c r="P47" s="16">
        <f>N47*Table22[[#This Row],[2019]]</f>
        <v>-5.7036993869969367E-3</v>
      </c>
      <c r="Q47" s="15">
        <f>N47*Table22[[#This Row],[2018]]</f>
        <v>-6.0643813294510705E-2</v>
      </c>
      <c r="R47" s="15">
        <f>N47*Table22[[#This Row],[2017]]</f>
        <v>-1.5049594185008904E-2</v>
      </c>
      <c r="S47" s="24">
        <f>N47*Table22[[#This Row],[2016]]</f>
        <v>8.9256035015493645E-2</v>
      </c>
      <c r="V47">
        <f t="shared" si="1"/>
        <v>4.7393364928909956E-3</v>
      </c>
      <c r="W47" s="25">
        <f>V47*Table22[[#This Row],[2020]]</f>
        <v>-3.6062279620853087E-2</v>
      </c>
      <c r="X47" s="16">
        <f>V47*Table22[[#This Row],[2019]]</f>
        <v>-1.108672037914692E-2</v>
      </c>
      <c r="Y47" s="15">
        <f>V47*Table22[[#This Row],[2018]]</f>
        <v>-0.11787805687203792</v>
      </c>
      <c r="Z47" s="15">
        <f>V47*Table22[[#This Row],[2017]]</f>
        <v>-2.9253056872037917E-2</v>
      </c>
      <c r="AA47" s="24">
        <f>V47*Table22[[#This Row],[2016]]</f>
        <v>0.17349383886255926</v>
      </c>
    </row>
    <row r="48" spans="1:27" x14ac:dyDescent="0.35">
      <c r="A48" s="83" t="s">
        <v>462</v>
      </c>
      <c r="B48" s="84" t="s">
        <v>950</v>
      </c>
      <c r="C48" s="84" t="str">
        <f>Table22[[#This Row],[Ticker]]&amp; ( "US EQUITY")</f>
        <v>TWTRUS EQUITY</v>
      </c>
      <c r="D48" s="85">
        <v>0.77580259383844252</v>
      </c>
      <c r="E48" s="85">
        <v>0.22419740616155745</v>
      </c>
      <c r="F48" s="86">
        <f>_xlfn.XLOOKUP(Table22[[#This Row],[Ticker]],D!B:B,D!D:D,"not found")</f>
        <v>16059999999.999998</v>
      </c>
      <c r="G48" s="87">
        <v>68.954729999999998</v>
      </c>
      <c r="H48" s="88">
        <v>11.517049999999999</v>
      </c>
      <c r="I48" s="89">
        <v>19.700150000000001</v>
      </c>
      <c r="J48" s="89">
        <v>47.300609999999999</v>
      </c>
      <c r="K48" s="90">
        <v>-29.559200000000001</v>
      </c>
      <c r="N48" s="1">
        <f>D!E46</f>
        <v>1.7790845036525439E-3</v>
      </c>
      <c r="O48" s="25">
        <f>N48*Table22[[#This Row],[2020]]</f>
        <v>0.12267629159654518</v>
      </c>
      <c r="P48" s="16">
        <f>N48*Table22[[#This Row],[2019]]</f>
        <v>2.0489805182791528E-2</v>
      </c>
      <c r="Q48" s="15">
        <f>N48*Table22[[#This Row],[2018]]</f>
        <v>3.5048231584630662E-2</v>
      </c>
      <c r="R48" s="15">
        <f>N48*Table22[[#This Row],[2017]]</f>
        <v>8.4151782264312552E-2</v>
      </c>
      <c r="S48" s="24">
        <f>N48*Table22[[#This Row],[2016]]</f>
        <v>-5.258831466036628E-2</v>
      </c>
      <c r="V48">
        <f t="shared" si="1"/>
        <v>4.7393364928909956E-3</v>
      </c>
      <c r="W48" s="25">
        <f>V48*Table22[[#This Row],[2020]]</f>
        <v>0.32679966824644552</v>
      </c>
      <c r="X48" s="16">
        <f>V48*Table22[[#This Row],[2019]]</f>
        <v>5.4583175355450236E-2</v>
      </c>
      <c r="Y48" s="15">
        <f>V48*Table22[[#This Row],[2018]]</f>
        <v>9.3365639810426546E-2</v>
      </c>
      <c r="Z48" s="15">
        <f>V48*Table22[[#This Row],[2017]]</f>
        <v>0.22417350710900474</v>
      </c>
      <c r="AA48" s="24">
        <f>V48*Table22[[#This Row],[2016]]</f>
        <v>-0.14009099526066351</v>
      </c>
    </row>
    <row r="49" spans="1:27" x14ac:dyDescent="0.35">
      <c r="A49" s="83" t="s">
        <v>354</v>
      </c>
      <c r="B49" s="84" t="s">
        <v>850</v>
      </c>
      <c r="C49" s="84" t="str">
        <f>Table22[[#This Row],[Ticker]]&amp; ( "US EQUITY")</f>
        <v>NDAQUS EQUITY</v>
      </c>
      <c r="D49" s="85">
        <v>0.66264739309561016</v>
      </c>
      <c r="E49" s="85">
        <v>0.33735260690438984</v>
      </c>
      <c r="F49" s="86">
        <f>_xlfn.XLOOKUP(Table22[[#This Row],[Ticker]],D!B:B,D!D:D,"not found")</f>
        <v>9560000000</v>
      </c>
      <c r="G49" s="87">
        <v>26.120339999999999</v>
      </c>
      <c r="H49" s="88">
        <v>33.867260000000002</v>
      </c>
      <c r="I49" s="89">
        <v>8.2020759999999999</v>
      </c>
      <c r="J49" s="89">
        <v>16.75676</v>
      </c>
      <c r="K49" s="90">
        <v>17.48873</v>
      </c>
      <c r="N49" s="1">
        <f>D!E47</f>
        <v>1.0590316223485878E-3</v>
      </c>
      <c r="O49" s="25">
        <f>N49*Table22[[#This Row],[2020]]</f>
        <v>2.7662266046496711E-2</v>
      </c>
      <c r="P49" s="16">
        <f>N49*Table22[[#This Row],[2019]]</f>
        <v>3.5866499302301437E-2</v>
      </c>
      <c r="Q49" s="15">
        <f>N49*Table22[[#This Row],[2018]]</f>
        <v>8.6862578529064149E-3</v>
      </c>
      <c r="R49" s="15">
        <f>N49*Table22[[#This Row],[2017]]</f>
        <v>1.7745938728105922E-2</v>
      </c>
      <c r="S49" s="24">
        <f>N49*Table22[[#This Row],[2016]]</f>
        <v>1.8521118104716419E-2</v>
      </c>
      <c r="V49">
        <f t="shared" si="1"/>
        <v>4.7393364928909956E-3</v>
      </c>
      <c r="W49" s="25">
        <f>V49*Table22[[#This Row],[2020]]</f>
        <v>0.12379308056872038</v>
      </c>
      <c r="X49" s="16">
        <f>V49*Table22[[#This Row],[2019]]</f>
        <v>0.16050834123222751</v>
      </c>
      <c r="Y49" s="15">
        <f>V49*Table22[[#This Row],[2018]]</f>
        <v>3.8872398104265404E-2</v>
      </c>
      <c r="Z49" s="15">
        <f>V49*Table22[[#This Row],[2017]]</f>
        <v>7.9415924170616117E-2</v>
      </c>
      <c r="AA49" s="24">
        <f>V49*Table22[[#This Row],[2016]]</f>
        <v>8.2884976303317537E-2</v>
      </c>
    </row>
    <row r="50" spans="1:27" x14ac:dyDescent="0.35">
      <c r="A50" s="83" t="s">
        <v>343</v>
      </c>
      <c r="B50" s="84" t="s">
        <v>840</v>
      </c>
      <c r="C50" s="84" t="str">
        <f>Table22[[#This Row],[Ticker]]&amp; ( "US EQUITY")</f>
        <v>MGMUS EQUITY</v>
      </c>
      <c r="D50" s="85">
        <v>0.65130126634978036</v>
      </c>
      <c r="E50" s="85">
        <v>0.34869873365021964</v>
      </c>
      <c r="F50" s="86">
        <f>_xlfn.XLOOKUP(Table22[[#This Row],[Ticker]],D!B:B,D!D:D,"not found")</f>
        <v>12830000000</v>
      </c>
      <c r="G50" s="87">
        <v>-4.4663789999999999</v>
      </c>
      <c r="H50" s="88">
        <v>39.696719999999999</v>
      </c>
      <c r="I50" s="89">
        <v>-26.154019999999999</v>
      </c>
      <c r="J50" s="89">
        <v>17.477799999999998</v>
      </c>
      <c r="K50" s="90">
        <v>26.892589999999998</v>
      </c>
      <c r="N50" s="1">
        <f>D!E48</f>
        <v>1.4212736103276552E-3</v>
      </c>
      <c r="O50" s="25">
        <f>N50*Table22[[#This Row],[2020]]</f>
        <v>-6.3479466064216223E-3</v>
      </c>
      <c r="P50" s="16">
        <f>N50*Table22[[#This Row],[2019]]</f>
        <v>5.6419900552566037E-2</v>
      </c>
      <c r="Q50" s="15">
        <f>N50*Table22[[#This Row],[2018]]</f>
        <v>-3.7172018429981697E-2</v>
      </c>
      <c r="R50" s="15">
        <f>N50*Table22[[#This Row],[2017]]</f>
        <v>2.4840735906584688E-2</v>
      </c>
      <c r="S50" s="24">
        <f>N50*Table22[[#This Row],[2016]]</f>
        <v>3.8221728480361393E-2</v>
      </c>
      <c r="V50">
        <f t="shared" si="1"/>
        <v>4.7393364928909956E-3</v>
      </c>
      <c r="W50" s="25">
        <f>V50*Table22[[#This Row],[2020]]</f>
        <v>-2.1167672985781993E-2</v>
      </c>
      <c r="X50" s="16">
        <f>V50*Table22[[#This Row],[2019]]</f>
        <v>0.18813611374407585</v>
      </c>
      <c r="Y50" s="15">
        <f>V50*Table22[[#This Row],[2018]]</f>
        <v>-0.12395270142180095</v>
      </c>
      <c r="Z50" s="15">
        <f>V50*Table22[[#This Row],[2017]]</f>
        <v>8.2833175355450234E-2</v>
      </c>
      <c r="AA50" s="24">
        <f>V50*Table22[[#This Row],[2016]]</f>
        <v>0.12745303317535545</v>
      </c>
    </row>
    <row r="51" spans="1:27" x14ac:dyDescent="0.35">
      <c r="A51" s="83" t="s">
        <v>219</v>
      </c>
      <c r="B51" s="84" t="s">
        <v>720</v>
      </c>
      <c r="C51" s="84" t="str">
        <f>Table22[[#This Row],[Ticker]]&amp; ( "US EQUITY")</f>
        <v>EIXUS EQUITY</v>
      </c>
      <c r="D51" s="85">
        <v>0.6400675414218876</v>
      </c>
      <c r="E51" s="85">
        <v>0.35993245857811235</v>
      </c>
      <c r="F51" s="86">
        <f>_xlfn.XLOOKUP(Table22[[#This Row],[Ticker]],D!B:B,D!D:D,"not found")</f>
        <v>19290000000</v>
      </c>
      <c r="G51" s="87">
        <v>-12.79302</v>
      </c>
      <c r="H51" s="88">
        <v>37.62321</v>
      </c>
      <c r="I51" s="89">
        <v>-6.6845889999999999</v>
      </c>
      <c r="J51" s="89">
        <v>-9.4716129999999996</v>
      </c>
      <c r="K51" s="90">
        <v>24.913540000000001</v>
      </c>
      <c r="N51" s="1">
        <f>D!E49</f>
        <v>2.1368953969774333E-3</v>
      </c>
      <c r="O51" s="25">
        <f>N51*Table22[[#This Row],[2020]]</f>
        <v>-2.7337345551440243E-2</v>
      </c>
      <c r="P51" s="16">
        <f>N51*Table22[[#This Row],[2019]]</f>
        <v>8.0396864268515333E-2</v>
      </c>
      <c r="Q51" s="15">
        <f>N51*Table22[[#This Row],[2018]]</f>
        <v>-1.4284267464785984E-2</v>
      </c>
      <c r="R51" s="15">
        <f>N51*Table22[[#This Row],[2017]]</f>
        <v>-2.0239846221651616E-2</v>
      </c>
      <c r="S51" s="24">
        <f>N51*Table22[[#This Row],[2016]]</f>
        <v>5.323762894841317E-2</v>
      </c>
      <c r="V51">
        <f t="shared" si="1"/>
        <v>4.7393364928909956E-3</v>
      </c>
      <c r="W51" s="25">
        <f>V51*Table22[[#This Row],[2020]]</f>
        <v>-6.0630426540284367E-2</v>
      </c>
      <c r="X51" s="16">
        <f>V51*Table22[[#This Row],[2019]]</f>
        <v>0.17830905213270143</v>
      </c>
      <c r="Y51" s="15">
        <f>V51*Table22[[#This Row],[2018]]</f>
        <v>-3.1680516587677725E-2</v>
      </c>
      <c r="Z51" s="15">
        <f>V51*Table22[[#This Row],[2017]]</f>
        <v>-4.4889161137440757E-2</v>
      </c>
      <c r="AA51" s="24">
        <f>V51*Table22[[#This Row],[2016]]</f>
        <v>0.11807364928909954</v>
      </c>
    </row>
    <row r="52" spans="1:27" x14ac:dyDescent="0.35">
      <c r="A52" s="83" t="s">
        <v>337</v>
      </c>
      <c r="B52" s="84" t="s">
        <v>834</v>
      </c>
      <c r="C52" s="84" t="str">
        <f>Table22[[#This Row],[Ticker]]&amp; ( "US EQUITY")</f>
        <v>MAUS EQUITY</v>
      </c>
      <c r="D52" s="85">
        <v>0.57100400958417208</v>
      </c>
      <c r="E52" s="85">
        <v>0.42899599041582792</v>
      </c>
      <c r="F52" s="86">
        <f>_xlfn.XLOOKUP(Table22[[#This Row],[Ticker]],D!B:B,D!D:D,"not found")</f>
        <v>108650000000</v>
      </c>
      <c r="G52" s="87">
        <v>20.174130000000002</v>
      </c>
      <c r="H52" s="88">
        <v>59.15992</v>
      </c>
      <c r="I52" s="89">
        <v>25.31955</v>
      </c>
      <c r="J52" s="89">
        <v>47.676549999999999</v>
      </c>
      <c r="K52" s="90">
        <v>6.9096450000000003</v>
      </c>
      <c r="N52" s="1">
        <f>D!E50</f>
        <v>1.2035960854411514E-2</v>
      </c>
      <c r="O52" s="25">
        <f>N52*Table22[[#This Row],[2020]]</f>
        <v>0.24281503895180898</v>
      </c>
      <c r="P52" s="16">
        <f>N52*Table22[[#This Row],[2019]]</f>
        <v>0.71204648127011683</v>
      </c>
      <c r="Q52" s="15">
        <f>N52*Table22[[#This Row],[2018]]</f>
        <v>0.30474511265131504</v>
      </c>
      <c r="R52" s="15">
        <f>N52*Table22[[#This Row],[2017]]</f>
        <v>0.57383308947339329</v>
      </c>
      <c r="S52" s="24">
        <f>N52*Table22[[#This Row],[2016]]</f>
        <v>8.3164216737880242E-2</v>
      </c>
      <c r="V52">
        <f t="shared" si="1"/>
        <v>4.7393364928909956E-3</v>
      </c>
      <c r="W52" s="25">
        <f>V52*Table22[[#This Row],[2020]]</f>
        <v>9.5611990521327031E-2</v>
      </c>
      <c r="X52" s="16">
        <f>V52*Table22[[#This Row],[2019]]</f>
        <v>0.28037876777251186</v>
      </c>
      <c r="Y52" s="15">
        <f>V52*Table22[[#This Row],[2018]]</f>
        <v>0.11999786729857821</v>
      </c>
      <c r="Z52" s="15">
        <f>V52*Table22[[#This Row],[2017]]</f>
        <v>0.2259552132701422</v>
      </c>
      <c r="AA52" s="24">
        <f>V52*Table22[[#This Row],[2016]]</f>
        <v>3.2747132701421808E-2</v>
      </c>
    </row>
    <row r="53" spans="1:27" x14ac:dyDescent="0.35">
      <c r="A53" s="83" t="s">
        <v>136</v>
      </c>
      <c r="B53" s="84" t="s">
        <v>640</v>
      </c>
      <c r="C53" s="84" t="str">
        <f>Table22[[#This Row],[Ticker]]&amp; ( "US EQUITY")</f>
        <v>BBYUS EQUITY</v>
      </c>
      <c r="D53" s="85">
        <v>0.52170637151120736</v>
      </c>
      <c r="E53" s="85">
        <v>0.47829362848879264</v>
      </c>
      <c r="F53" s="86">
        <f>_xlfn.XLOOKUP(Table22[[#This Row],[Ticker]],D!B:B,D!D:D,"not found")</f>
        <v>10440000000</v>
      </c>
      <c r="G53" s="87">
        <v>16.807739999999999</v>
      </c>
      <c r="H53" s="88">
        <v>70.507829999999998</v>
      </c>
      <c r="I53" s="89">
        <v>-20.603459999999998</v>
      </c>
      <c r="J53" s="89">
        <v>64.488140000000001</v>
      </c>
      <c r="K53" s="90">
        <v>46.681530000000002</v>
      </c>
      <c r="N53" s="1">
        <f>D!E51</f>
        <v>1.1565157047405082E-3</v>
      </c>
      <c r="O53" s="25">
        <f>N53*Table22[[#This Row],[2020]]</f>
        <v>1.943841527119523E-2</v>
      </c>
      <c r="P53" s="16">
        <f>N53*Table22[[#This Row],[2019]]</f>
        <v>8.1543412702173954E-2</v>
      </c>
      <c r="Q53" s="15">
        <f>N53*Table22[[#This Row],[2018]]</f>
        <v>-2.3828225061992871E-2</v>
      </c>
      <c r="R53" s="15">
        <f>N53*Table22[[#This Row],[2017]]</f>
        <v>7.4581546679504562E-2</v>
      </c>
      <c r="S53" s="24">
        <f>N53*Table22[[#This Row],[2016]]</f>
        <v>5.3987922566315183E-2</v>
      </c>
      <c r="V53">
        <f t="shared" si="1"/>
        <v>4.7393364928909956E-3</v>
      </c>
      <c r="W53" s="25">
        <f>V53*Table22[[#This Row],[2020]]</f>
        <v>7.9657535545023694E-2</v>
      </c>
      <c r="X53" s="16">
        <f>V53*Table22[[#This Row],[2019]]</f>
        <v>0.33416033175355453</v>
      </c>
      <c r="Y53" s="15">
        <f>V53*Table22[[#This Row],[2018]]</f>
        <v>-9.76467298578199E-2</v>
      </c>
      <c r="Z53" s="15">
        <f>V53*Table22[[#This Row],[2017]]</f>
        <v>0.30563099526066356</v>
      </c>
      <c r="AA53" s="24">
        <f>V53*Table22[[#This Row],[2016]]</f>
        <v>0.2212394786729858</v>
      </c>
    </row>
    <row r="54" spans="1:27" x14ac:dyDescent="0.35">
      <c r="A54" s="83" t="s">
        <v>57</v>
      </c>
      <c r="B54" s="84" t="s">
        <v>565</v>
      </c>
      <c r="C54" s="84" t="str">
        <f>Table22[[#This Row],[Ticker]]&amp; ( "US EQUITY")</f>
        <v>BMYUS EQUITY</v>
      </c>
      <c r="D54" s="85">
        <v>0.52042493534118106</v>
      </c>
      <c r="E54" s="85">
        <v>0.47957506465881899</v>
      </c>
      <c r="F54" s="86">
        <f>_xlfn.XLOOKUP(Table22[[#This Row],[Ticker]],D!B:B,D!D:D,"not found")</f>
        <v>114260000000</v>
      </c>
      <c r="G54" s="87">
        <v>0.39184089999999999</v>
      </c>
      <c r="H54" s="88">
        <v>27.862929999999999</v>
      </c>
      <c r="I54" s="89">
        <v>-12.909369999999999</v>
      </c>
      <c r="J54" s="89">
        <v>7.7170370000000004</v>
      </c>
      <c r="K54" s="90">
        <v>-13.496219999999999</v>
      </c>
      <c r="N54" s="1">
        <f>D!E52</f>
        <v>1.2657421879660005E-2</v>
      </c>
      <c r="O54" s="25">
        <f>N54*Table22[[#This Row],[2020]]</f>
        <v>4.9596955810056681E-3</v>
      </c>
      <c r="P54" s="16">
        <f>N54*Table22[[#This Row],[2019]]</f>
        <v>0.3526728598134351</v>
      </c>
      <c r="Q54" s="15">
        <f>N54*Table22[[#This Row],[2018]]</f>
        <v>-0.16339934229062647</v>
      </c>
      <c r="R54" s="15">
        <f>N54*Table22[[#This Row],[2017]]</f>
        <v>9.7677792969945804E-2</v>
      </c>
      <c r="S54" s="24">
        <f>N54*Table22[[#This Row],[2016]]</f>
        <v>-0.17082735032070495</v>
      </c>
      <c r="V54">
        <f t="shared" si="1"/>
        <v>4.7393364928909956E-3</v>
      </c>
      <c r="W54" s="25">
        <f>V54*Table22[[#This Row],[2020]]</f>
        <v>1.8570658767772513E-3</v>
      </c>
      <c r="X54" s="16">
        <f>V54*Table22[[#This Row],[2019]]</f>
        <v>0.13205180094786731</v>
      </c>
      <c r="Y54" s="15">
        <f>V54*Table22[[#This Row],[2018]]</f>
        <v>-6.1181848341232227E-2</v>
      </c>
      <c r="Z54" s="15">
        <f>V54*Table22[[#This Row],[2017]]</f>
        <v>3.6573635071090051E-2</v>
      </c>
      <c r="AA54" s="24">
        <f>V54*Table22[[#This Row],[2016]]</f>
        <v>-6.3963127962085309E-2</v>
      </c>
    </row>
    <row r="55" spans="1:27" x14ac:dyDescent="0.35">
      <c r="A55" s="83" t="s">
        <v>217</v>
      </c>
      <c r="B55" s="84" t="s">
        <v>217</v>
      </c>
      <c r="C55" s="84" t="str">
        <f>Table22[[#This Row],[Ticker]]&amp; ( "US EQUITY")</f>
        <v>EBAYUS EQUITY</v>
      </c>
      <c r="D55" s="85">
        <v>0.70741214339256586</v>
      </c>
      <c r="E55" s="85">
        <v>0.29258785660743419</v>
      </c>
      <c r="F55" s="86">
        <f>_xlfn.XLOOKUP(Table22[[#This Row],[Ticker]],D!B:B,D!D:D,"not found")</f>
        <v>32540000000</v>
      </c>
      <c r="G55" s="87">
        <v>41.148229999999998</v>
      </c>
      <c r="H55" s="88">
        <v>30.587489999999999</v>
      </c>
      <c r="I55" s="89">
        <v>-25.622679999999999</v>
      </c>
      <c r="J55" s="89">
        <v>27.113499999999998</v>
      </c>
      <c r="K55" s="90">
        <v>8.0422039999999999</v>
      </c>
      <c r="N55" s="1">
        <f>D!E53</f>
        <v>3.6046955011739593E-3</v>
      </c>
      <c r="O55" s="25">
        <f>N55*Table22[[#This Row],[2020]]</f>
        <v>0.14832683956227133</v>
      </c>
      <c r="P55" s="16">
        <f>N55*Table22[[#This Row],[2019]]</f>
        <v>0.11025858759520346</v>
      </c>
      <c r="Q55" s="15">
        <f>N55*Table22[[#This Row],[2018]]</f>
        <v>-9.2361959324019985E-2</v>
      </c>
      <c r="R55" s="15">
        <f>N55*Table22[[#This Row],[2017]]</f>
        <v>9.7735911471080142E-2</v>
      </c>
      <c r="S55" s="24">
        <f>N55*Table22[[#This Row],[2016]]</f>
        <v>2.8989696578323221E-2</v>
      </c>
      <c r="V55">
        <f t="shared" si="1"/>
        <v>4.7393364928909956E-3</v>
      </c>
      <c r="W55" s="25">
        <f>V55*Table22[[#This Row],[2020]]</f>
        <v>0.19501530805687203</v>
      </c>
      <c r="X55" s="16">
        <f>V55*Table22[[#This Row],[2019]]</f>
        <v>0.14496440758293838</v>
      </c>
      <c r="Y55" s="15">
        <f>V55*Table22[[#This Row],[2018]]</f>
        <v>-0.12143450236966825</v>
      </c>
      <c r="Z55" s="15">
        <f>V55*Table22[[#This Row],[2017]]</f>
        <v>0.1285</v>
      </c>
      <c r="AA55" s="24">
        <f>V55*Table22[[#This Row],[2016]]</f>
        <v>3.8114710900473935E-2</v>
      </c>
    </row>
    <row r="56" spans="1:27" x14ac:dyDescent="0.35">
      <c r="A56" s="83" t="s">
        <v>374</v>
      </c>
      <c r="B56" s="84" t="s">
        <v>870</v>
      </c>
      <c r="C56" s="84" t="str">
        <f>Table22[[#This Row],[Ticker]]&amp; ( "US EQUITY")</f>
        <v>OMCUS EQUITY</v>
      </c>
      <c r="D56" s="85">
        <v>0.75024883389605579</v>
      </c>
      <c r="E56" s="85">
        <v>0.24975116610394427</v>
      </c>
      <c r="F56" s="86">
        <f>_xlfn.XLOOKUP(Table22[[#This Row],[Ticker]],D!B:B,D!D:D,"not found")</f>
        <v>18140000000</v>
      </c>
      <c r="G56" s="87">
        <v>-19.427420000000001</v>
      </c>
      <c r="H56" s="88">
        <v>14.35689</v>
      </c>
      <c r="I56" s="89">
        <v>3.9378519999999999</v>
      </c>
      <c r="J56" s="89">
        <v>-11.9312</v>
      </c>
      <c r="K56" s="90">
        <v>15.40658</v>
      </c>
      <c r="N56" s="1">
        <f>D!E54</f>
        <v>2.0095014256698101E-3</v>
      </c>
      <c r="O56" s="25">
        <f>N56*Table22[[#This Row],[2020]]</f>
        <v>-3.9039428187086188E-2</v>
      </c>
      <c r="P56" s="16">
        <f>N56*Table22[[#This Row],[2019]]</f>
        <v>2.8850190923184641E-2</v>
      </c>
      <c r="Q56" s="15">
        <f>N56*Table22[[#This Row],[2018]]</f>
        <v>7.9131192080767136E-3</v>
      </c>
      <c r="R56" s="15">
        <f>N56*Table22[[#This Row],[2017]]</f>
        <v>-2.3975763409951639E-2</v>
      </c>
      <c r="S56" s="24">
        <f>N56*Table22[[#This Row],[2016]]</f>
        <v>3.0959544474695982E-2</v>
      </c>
      <c r="V56">
        <f t="shared" si="1"/>
        <v>4.7393364928909956E-3</v>
      </c>
      <c r="W56" s="25">
        <f>V56*Table22[[#This Row],[2020]]</f>
        <v>-9.2073080568720392E-2</v>
      </c>
      <c r="X56" s="16">
        <f>V56*Table22[[#This Row],[2019]]</f>
        <v>6.8042132701421801E-2</v>
      </c>
      <c r="Y56" s="15">
        <f>V56*Table22[[#This Row],[2018]]</f>
        <v>1.8662805687203791E-2</v>
      </c>
      <c r="Z56" s="15">
        <f>V56*Table22[[#This Row],[2017]]</f>
        <v>-5.654597156398105E-2</v>
      </c>
      <c r="AA56" s="24">
        <f>V56*Table22[[#This Row],[2016]]</f>
        <v>7.301696682464455E-2</v>
      </c>
    </row>
    <row r="57" spans="1:27" x14ac:dyDescent="0.35">
      <c r="A57" s="83" t="s">
        <v>381</v>
      </c>
      <c r="B57" s="84" t="s">
        <v>877</v>
      </c>
      <c r="C57" s="84" t="str">
        <f>Table22[[#This Row],[Ticker]]&amp; ( "US EQUITY")</f>
        <v>PAYXUS EQUITY</v>
      </c>
      <c r="D57" s="85">
        <v>0.94245899699309166</v>
      </c>
      <c r="E57" s="85">
        <v>5.7541003006908384E-2</v>
      </c>
      <c r="F57" s="86">
        <f>_xlfn.XLOOKUP(Table22[[#This Row],[Ticker]],D!B:B,D!D:D,"not found")</f>
        <v>19090000000</v>
      </c>
      <c r="G57" s="87">
        <v>13.229380000000001</v>
      </c>
      <c r="H57" s="88">
        <v>34.541629999999998</v>
      </c>
      <c r="I57" s="89">
        <v>-1.0984419999999999</v>
      </c>
      <c r="J57" s="89">
        <v>15.44608</v>
      </c>
      <c r="K57" s="90">
        <v>18.997170000000001</v>
      </c>
      <c r="N57" s="1">
        <f>D!E55</f>
        <v>2.1147399237065423E-3</v>
      </c>
      <c r="O57" s="25">
        <f>N57*Table22[[#This Row],[2020]]</f>
        <v>2.7976698051884859E-2</v>
      </c>
      <c r="P57" s="16">
        <f>N57*Table22[[#This Row],[2019]]</f>
        <v>7.3046563990899607E-2</v>
      </c>
      <c r="Q57" s="15">
        <f>N57*Table22[[#This Row],[2018]]</f>
        <v>-2.3229191512760617E-3</v>
      </c>
      <c r="R57" s="15">
        <f>N57*Table22[[#This Row],[2017]]</f>
        <v>3.266444204076515E-2</v>
      </c>
      <c r="S57" s="24">
        <f>N57*Table22[[#This Row],[2016]]</f>
        <v>4.0174073836440213E-2</v>
      </c>
      <c r="V57">
        <f t="shared" si="1"/>
        <v>4.7393364928909956E-3</v>
      </c>
      <c r="W57" s="25">
        <f>V57*Table22[[#This Row],[2020]]</f>
        <v>6.2698483412322287E-2</v>
      </c>
      <c r="X57" s="16">
        <f>V57*Table22[[#This Row],[2019]]</f>
        <v>0.16370440758293839</v>
      </c>
      <c r="Y57" s="15">
        <f>V57*Table22[[#This Row],[2018]]</f>
        <v>-5.2058862559241706E-3</v>
      </c>
      <c r="Z57" s="15">
        <f>V57*Table22[[#This Row],[2017]]</f>
        <v>7.3204170616113756E-2</v>
      </c>
      <c r="AA57" s="24">
        <f>V57*Table22[[#This Row],[2016]]</f>
        <v>9.0033981042654032E-2</v>
      </c>
    </row>
    <row r="58" spans="1:27" x14ac:dyDescent="0.35">
      <c r="A58" s="83" t="s">
        <v>92</v>
      </c>
      <c r="B58" s="84" t="s">
        <v>596</v>
      </c>
      <c r="C58" s="84" t="str">
        <f>Table22[[#This Row],[Ticker]]&amp; ( "US EQUITY")</f>
        <v>ALXNUS EQUITY</v>
      </c>
      <c r="D58" s="85">
        <v>0.85023825731790337</v>
      </c>
      <c r="E58" s="85">
        <v>0.14976174268209666</v>
      </c>
      <c r="F58" s="86">
        <f>_xlfn.XLOOKUP(Table22[[#This Row],[Ticker]],D!B:B,D!D:D,"not found")</f>
        <v>43040000000</v>
      </c>
      <c r="G58" s="87">
        <v>44.466030000000003</v>
      </c>
      <c r="H58" s="88">
        <v>11.082599999999999</v>
      </c>
      <c r="I58" s="89">
        <v>-18.5885</v>
      </c>
      <c r="J58" s="89">
        <v>-2.2558150000000001</v>
      </c>
      <c r="K58" s="90">
        <v>-35.858460000000001</v>
      </c>
      <c r="N58" s="1">
        <f>D!E56</f>
        <v>4.7678578478957349E-3</v>
      </c>
      <c r="O58" s="25">
        <f>N58*Table22[[#This Row],[2020]]</f>
        <v>0.2120077101002672</v>
      </c>
      <c r="P58" s="16">
        <f>N58*Table22[[#This Row],[2019]]</f>
        <v>5.2840261385089266E-2</v>
      </c>
      <c r="Q58" s="15">
        <f>N58*Table22[[#This Row],[2018]]</f>
        <v>-8.8627325605609861E-2</v>
      </c>
      <c r="R58" s="15">
        <f>N58*Table22[[#This Row],[2017]]</f>
        <v>-1.0755405251150917E-2</v>
      </c>
      <c r="S58" s="24">
        <f>N58*Table22[[#This Row],[2016]]</f>
        <v>-0.17096803992445531</v>
      </c>
      <c r="V58">
        <f t="shared" si="1"/>
        <v>4.7393364928909956E-3</v>
      </c>
      <c r="W58" s="25">
        <f>V58*Table22[[#This Row],[2020]]</f>
        <v>0.21073947867298581</v>
      </c>
      <c r="X58" s="16">
        <f>V58*Table22[[#This Row],[2019]]</f>
        <v>5.2524170616113745E-2</v>
      </c>
      <c r="Y58" s="15">
        <f>V58*Table22[[#This Row],[2018]]</f>
        <v>-8.8097156398104268E-2</v>
      </c>
      <c r="Z58" s="15">
        <f>V58*Table22[[#This Row],[2017]]</f>
        <v>-1.0691066350710902E-2</v>
      </c>
      <c r="AA58" s="24">
        <f>V58*Table22[[#This Row],[2016]]</f>
        <v>-0.16994530805687205</v>
      </c>
    </row>
    <row r="59" spans="1:27" x14ac:dyDescent="0.35">
      <c r="A59" s="83" t="s">
        <v>452</v>
      </c>
      <c r="B59" s="84" t="s">
        <v>943</v>
      </c>
      <c r="C59" s="84" t="str">
        <f>Table22[[#This Row],[Ticker]]&amp; ( "US EQUITY")</f>
        <v>TMOUS EQUITY</v>
      </c>
      <c r="D59" s="85">
        <v>0.54627907859284275</v>
      </c>
      <c r="E59" s="85">
        <v>0.4537209214071572</v>
      </c>
      <c r="F59" s="86">
        <f>_xlfn.XLOOKUP(Table22[[#This Row],[Ticker]],D!B:B,D!D:D,"not found")</f>
        <v>56690000000</v>
      </c>
      <c r="G59" s="87">
        <v>43.712679999999999</v>
      </c>
      <c r="H59" s="88">
        <v>45.548769999999998</v>
      </c>
      <c r="I59" s="89">
        <v>18.213789999999999</v>
      </c>
      <c r="J59" s="89">
        <v>35.026629999999997</v>
      </c>
      <c r="K59" s="90">
        <v>-0.1174808</v>
      </c>
      <c r="N59" s="1">
        <f>D!E57</f>
        <v>6.2799688986340425E-3</v>
      </c>
      <c r="O59" s="25">
        <f>N59*Table22[[#This Row],[2020]]</f>
        <v>0.27451427087594232</v>
      </c>
      <c r="P59" s="16">
        <f>N59*Table22[[#This Row],[2019]]</f>
        <v>0.28604485897103532</v>
      </c>
      <c r="Q59" s="15">
        <f>N59*Table22[[#This Row],[2018]]</f>
        <v>0.11438203472625173</v>
      </c>
      <c r="R59" s="15">
        <f>N59*Table22[[#This Row],[2017]]</f>
        <v>0.21996614702396208</v>
      </c>
      <c r="S59" s="24">
        <f>N59*Table22[[#This Row],[2016]]</f>
        <v>-7.3777577018664621E-4</v>
      </c>
      <c r="V59">
        <f t="shared" si="1"/>
        <v>4.7393364928909956E-3</v>
      </c>
      <c r="W59" s="25">
        <f>V59*Table22[[#This Row],[2020]]</f>
        <v>0.20716909952606635</v>
      </c>
      <c r="X59" s="16">
        <f>V59*Table22[[#This Row],[2019]]</f>
        <v>0.21587094786729857</v>
      </c>
      <c r="Y59" s="15">
        <f>V59*Table22[[#This Row],[2018]]</f>
        <v>8.6321279620853078E-2</v>
      </c>
      <c r="Z59" s="15">
        <f>V59*Table22[[#This Row],[2017]]</f>
        <v>0.16600298578199052</v>
      </c>
      <c r="AA59" s="24">
        <f>V59*Table22[[#This Row],[2016]]</f>
        <v>-5.5678104265402843E-4</v>
      </c>
    </row>
    <row r="60" spans="1:27" x14ac:dyDescent="0.35">
      <c r="A60" s="83" t="s">
        <v>81</v>
      </c>
      <c r="B60" s="84" t="s">
        <v>586</v>
      </c>
      <c r="C60" s="84" t="str">
        <f>Table22[[#This Row],[Ticker]]&amp; ( "US EQUITY")</f>
        <v>ADBEUS EQUITY</v>
      </c>
      <c r="D60" s="85">
        <v>0.96569482672677232</v>
      </c>
      <c r="E60" s="85">
        <v>3.4305173273227713E-2</v>
      </c>
      <c r="F60" s="86">
        <f>_xlfn.XLOOKUP(Table22[[#This Row],[Ticker]],D!B:B,D!D:D,"not found")</f>
        <v>46760000000</v>
      </c>
      <c r="G60" s="87">
        <v>51.63879</v>
      </c>
      <c r="H60" s="88">
        <v>45.778820000000003</v>
      </c>
      <c r="I60" s="89">
        <v>29.102930000000001</v>
      </c>
      <c r="J60" s="89">
        <v>70.218549999999993</v>
      </c>
      <c r="K60" s="90">
        <v>9.591234</v>
      </c>
      <c r="N60" s="1">
        <f>D!E58</f>
        <v>5.1799496507343064E-3</v>
      </c>
      <c r="O60" s="25">
        <f>N60*Table22[[#This Row],[2020]]</f>
        <v>0.26748633222484219</v>
      </c>
      <c r="P60" s="16">
        <f>N60*Table22[[#This Row],[2019]]</f>
        <v>0.23713198267002869</v>
      </c>
      <c r="Q60" s="15">
        <f>N60*Table22[[#This Row],[2018]]</f>
        <v>0.15075171208884497</v>
      </c>
      <c r="R60" s="15">
        <f>N60*Table22[[#This Row],[2017]]</f>
        <v>0.36372855354756939</v>
      </c>
      <c r="S60" s="24">
        <f>N60*Table22[[#This Row],[2016]]</f>
        <v>4.9682109208411006E-2</v>
      </c>
      <c r="V60">
        <f t="shared" si="1"/>
        <v>4.7393364928909956E-3</v>
      </c>
      <c r="W60" s="25">
        <f>V60*Table22[[#This Row],[2020]]</f>
        <v>0.24473360189573462</v>
      </c>
      <c r="X60" s="16">
        <f>V60*Table22[[#This Row],[2019]]</f>
        <v>0.21696123222748817</v>
      </c>
      <c r="Y60" s="15">
        <f>V60*Table22[[#This Row],[2018]]</f>
        <v>0.13792857819905216</v>
      </c>
      <c r="Z60" s="15">
        <f>V60*Table22[[#This Row],[2017]]</f>
        <v>0.332789336492891</v>
      </c>
      <c r="AA60" s="24">
        <f>V60*Table22[[#This Row],[2016]]</f>
        <v>4.5456085308056879E-2</v>
      </c>
    </row>
    <row r="61" spans="1:27" x14ac:dyDescent="0.35">
      <c r="A61" s="83" t="s">
        <v>479</v>
      </c>
      <c r="B61" s="84" t="s">
        <v>965</v>
      </c>
      <c r="C61" s="84" t="str">
        <f>Table22[[#This Row],[Ticker]]&amp; ( "US EQUITY")</f>
        <v>VRTXUS EQUITY</v>
      </c>
      <c r="D61" s="85">
        <v>0.68313854166346033</v>
      </c>
      <c r="E61" s="85">
        <v>0.31686145833653967</v>
      </c>
      <c r="F61" s="86">
        <f>_xlfn.XLOOKUP(Table22[[#This Row],[Ticker]],D!B:B,D!D:D,"not found")</f>
        <v>30990000000</v>
      </c>
      <c r="G61" s="87">
        <v>7.94245</v>
      </c>
      <c r="H61" s="88">
        <v>32.128419999999998</v>
      </c>
      <c r="I61" s="89">
        <v>10.57652</v>
      </c>
      <c r="J61" s="89">
        <v>103.4207</v>
      </c>
      <c r="K61" s="90">
        <v>-41.452759999999998</v>
      </c>
      <c r="N61" s="1">
        <f>D!E59</f>
        <v>3.4329905833245544E-3</v>
      </c>
      <c r="O61" s="25">
        <f>N61*Table22[[#This Row],[2020]]</f>
        <v>2.7266356058526106E-2</v>
      </c>
      <c r="P61" s="16">
        <f>N61*Table22[[#This Row],[2019]]</f>
        <v>0.11029656331709628</v>
      </c>
      <c r="Q61" s="15">
        <f>N61*Table22[[#This Row],[2018]]</f>
        <v>3.6309093564343815E-2</v>
      </c>
      <c r="R61" s="15">
        <f>N61*Table22[[#This Row],[2017]]</f>
        <v>0.35504228922083375</v>
      </c>
      <c r="S61" s="24">
        <f>N61*Table22[[#This Row],[2016]]</f>
        <v>-0.14230693473281275</v>
      </c>
      <c r="V61">
        <f t="shared" si="1"/>
        <v>4.7393364928909956E-3</v>
      </c>
      <c r="W61" s="25">
        <f>V61*Table22[[#This Row],[2020]]</f>
        <v>3.7641943127962089E-2</v>
      </c>
      <c r="X61" s="16">
        <f>V61*Table22[[#This Row],[2019]]</f>
        <v>0.15226739336492892</v>
      </c>
      <c r="Y61" s="15">
        <f>V61*Table22[[#This Row],[2018]]</f>
        <v>5.0125687203791472E-2</v>
      </c>
      <c r="Z61" s="15">
        <f>V61*Table22[[#This Row],[2017]]</f>
        <v>0.49014549763033177</v>
      </c>
      <c r="AA61" s="24">
        <f>V61*Table22[[#This Row],[2016]]</f>
        <v>-0.19645857819905213</v>
      </c>
    </row>
    <row r="62" spans="1:27" x14ac:dyDescent="0.35">
      <c r="A62" s="83" t="s">
        <v>359</v>
      </c>
      <c r="B62" s="84" t="s">
        <v>855</v>
      </c>
      <c r="C62" s="84" t="str">
        <f>Table22[[#This Row],[Ticker]]&amp; ( "US EQUITY")</f>
        <v>NWSAUS EQUITY</v>
      </c>
      <c r="D62" s="85">
        <v>0.72271446057788413</v>
      </c>
      <c r="E62" s="85">
        <v>0.27728553942211592</v>
      </c>
      <c r="F62" s="86">
        <f>_xlfn.XLOOKUP(Table22[[#This Row],[Ticker]],D!B:B,D!D:D,"not found")</f>
        <v>7890000000</v>
      </c>
      <c r="G62" s="87">
        <v>29.10023</v>
      </c>
      <c r="H62" s="88">
        <v>26.414750000000002</v>
      </c>
      <c r="I62" s="89">
        <v>-28.991540000000001</v>
      </c>
      <c r="J62" s="89">
        <v>43.675800000000002</v>
      </c>
      <c r="K62" s="90">
        <v>-12.84056</v>
      </c>
      <c r="N62" s="1">
        <f>D!E60</f>
        <v>8.7403342053664834E-4</v>
      </c>
      <c r="O62" s="25">
        <f>N62*Table22[[#This Row],[2020]]</f>
        <v>2.5434573565303188E-2</v>
      </c>
      <c r="P62" s="16">
        <f>N62*Table22[[#This Row],[2019]]</f>
        <v>2.3087374295120432E-2</v>
      </c>
      <c r="Q62" s="15">
        <f>N62*Table22[[#This Row],[2018]]</f>
        <v>-2.5339574872825062E-2</v>
      </c>
      <c r="R62" s="15">
        <f>N62*Table22[[#This Row],[2017]]</f>
        <v>3.8174108868674547E-2</v>
      </c>
      <c r="S62" s="24">
        <f>N62*Table22[[#This Row],[2016]]</f>
        <v>-1.1223078578406065E-2</v>
      </c>
      <c r="V62">
        <f t="shared" si="1"/>
        <v>4.7393364928909956E-3</v>
      </c>
      <c r="W62" s="25">
        <f>V62*Table22[[#This Row],[2020]]</f>
        <v>0.13791578199052135</v>
      </c>
      <c r="X62" s="16">
        <f>V62*Table22[[#This Row],[2019]]</f>
        <v>0.12518838862559242</v>
      </c>
      <c r="Y62" s="15">
        <f>V62*Table22[[#This Row],[2018]]</f>
        <v>-0.13740066350710903</v>
      </c>
      <c r="Z62" s="15">
        <f>V62*Table22[[#This Row],[2017]]</f>
        <v>0.20699431279620856</v>
      </c>
      <c r="AA62" s="24">
        <f>V62*Table22[[#This Row],[2016]]</f>
        <v>-6.0855734597156402E-2</v>
      </c>
    </row>
    <row r="63" spans="1:27" x14ac:dyDescent="0.35">
      <c r="A63" s="83" t="s">
        <v>53</v>
      </c>
      <c r="B63" s="84" t="s">
        <v>561</v>
      </c>
      <c r="C63" s="84" t="str">
        <f>Table22[[#This Row],[Ticker]]&amp; ( "US EQUITY")</f>
        <v>AMPUS EQUITY</v>
      </c>
      <c r="D63" s="85">
        <v>0.50827112069922697</v>
      </c>
      <c r="E63" s="85">
        <v>0.49172887930077303</v>
      </c>
      <c r="F63" s="86">
        <f>_xlfn.XLOOKUP(Table22[[#This Row],[Ticker]],D!B:B,D!D:D,"not found")</f>
        <v>18200000000</v>
      </c>
      <c r="G63" s="87">
        <v>19.791979999999999</v>
      </c>
      <c r="H63" s="88">
        <v>63.983139999999999</v>
      </c>
      <c r="I63" s="89">
        <v>-36.833759999999998</v>
      </c>
      <c r="J63" s="89">
        <v>56.366849999999999</v>
      </c>
      <c r="K63" s="90">
        <v>7.7241660000000003</v>
      </c>
      <c r="N63" s="1">
        <f>D!E61</f>
        <v>2.0161480676510776E-3</v>
      </c>
      <c r="O63" s="25">
        <f>N63*Table22[[#This Row],[2020]]</f>
        <v>3.9903562231988772E-2</v>
      </c>
      <c r="P63" s="16">
        <f>N63*Table22[[#This Row],[2019]]</f>
        <v>0.12899948407324838</v>
      </c>
      <c r="Q63" s="15">
        <f>N63*Table22[[#This Row],[2018]]</f>
        <v>-7.4262314048323549E-2</v>
      </c>
      <c r="R63" s="15">
        <f>N63*Table22[[#This Row],[2017]]</f>
        <v>0.11364391570707814</v>
      </c>
      <c r="S63" s="24">
        <f>N63*Table22[[#This Row],[2016]]</f>
        <v>1.5573062355116154E-2</v>
      </c>
      <c r="V63">
        <f t="shared" si="1"/>
        <v>4.7393364928909956E-3</v>
      </c>
      <c r="W63" s="25">
        <f>V63*Table22[[#This Row],[2020]]</f>
        <v>9.3800853080568722E-2</v>
      </c>
      <c r="X63" s="16">
        <f>V63*Table22[[#This Row],[2019]]</f>
        <v>0.30323763033175355</v>
      </c>
      <c r="Y63" s="15">
        <f>V63*Table22[[#This Row],[2018]]</f>
        <v>-0.17456758293838864</v>
      </c>
      <c r="Z63" s="15">
        <f>V63*Table22[[#This Row],[2017]]</f>
        <v>0.26714146919431281</v>
      </c>
      <c r="AA63" s="24">
        <f>V63*Table22[[#This Row],[2016]]</f>
        <v>3.6607421800947872E-2</v>
      </c>
    </row>
    <row r="64" spans="1:27" x14ac:dyDescent="0.35">
      <c r="A64" s="83" t="s">
        <v>263</v>
      </c>
      <c r="B64" s="84" t="s">
        <v>761</v>
      </c>
      <c r="C64" s="84" t="str">
        <f>Table22[[#This Row],[Ticker]]&amp; ( "US EQUITY")</f>
        <v>GILDUS EQUITY</v>
      </c>
      <c r="D64" s="85">
        <v>0.61297909763979219</v>
      </c>
      <c r="E64" s="85">
        <v>0.38702090236020781</v>
      </c>
      <c r="F64" s="86">
        <f>_xlfn.XLOOKUP(Table22[[#This Row],[Ticker]],D!B:B,D!D:D,"not found")</f>
        <v>143890000000</v>
      </c>
      <c r="G64" s="87">
        <v>-6.6213490000000004</v>
      </c>
      <c r="H64" s="88">
        <v>7.8824040000000002</v>
      </c>
      <c r="I64" s="89">
        <v>-9.920382</v>
      </c>
      <c r="J64" s="89">
        <v>2.9735450000000001</v>
      </c>
      <c r="K64" s="90">
        <v>-27.61111</v>
      </c>
      <c r="N64" s="1">
        <f>D!E62</f>
        <v>1.59397552447425E-2</v>
      </c>
      <c r="O64" s="25">
        <f>N64*Table22[[#This Row],[2020]]</f>
        <v>-0.10554268245002052</v>
      </c>
      <c r="P64" s="16">
        <f>N64*Table22[[#This Row],[2019]]</f>
        <v>0.12564359050017926</v>
      </c>
      <c r="Q64" s="15">
        <f>N64*Table22[[#This Row],[2018]]</f>
        <v>-0.1581284610143491</v>
      </c>
      <c r="R64" s="15">
        <f>N64*Table22[[#This Row],[2017]]</f>
        <v>4.7397579509227843E-2</v>
      </c>
      <c r="S64" s="24">
        <f>N64*Table22[[#This Row],[2016]]</f>
        <v>-0.44011433543566209</v>
      </c>
      <c r="V64">
        <f t="shared" si="1"/>
        <v>4.7393364928909956E-3</v>
      </c>
      <c r="W64" s="25">
        <f>V64*Table22[[#This Row],[2020]]</f>
        <v>-3.1380800947867306E-2</v>
      </c>
      <c r="X64" s="16">
        <f>V64*Table22[[#This Row],[2019]]</f>
        <v>3.7357364928909953E-2</v>
      </c>
      <c r="Y64" s="15">
        <f>V64*Table22[[#This Row],[2018]]</f>
        <v>-4.7016028436018958E-2</v>
      </c>
      <c r="Z64" s="15">
        <f>V64*Table22[[#This Row],[2017]]</f>
        <v>1.4092630331753555E-2</v>
      </c>
      <c r="AA64" s="24">
        <f>V64*Table22[[#This Row],[2016]]</f>
        <v>-0.1308583412322275</v>
      </c>
    </row>
    <row r="65" spans="1:27" x14ac:dyDescent="0.35">
      <c r="A65" s="83" t="s">
        <v>69</v>
      </c>
      <c r="B65" s="84" t="s">
        <v>69</v>
      </c>
      <c r="C65" s="84" t="str">
        <f>Table22[[#This Row],[Ticker]]&amp; ( "US EQUITY")</f>
        <v>AIGUS EQUITY</v>
      </c>
      <c r="D65" s="85">
        <v>0.63746389619347332</v>
      </c>
      <c r="E65" s="85">
        <v>0.36253610380652673</v>
      </c>
      <c r="F65" s="86">
        <f>_xlfn.XLOOKUP(Table22[[#This Row],[Ticker]],D!B:B,D!D:D,"not found")</f>
        <v>73990000000</v>
      </c>
      <c r="G65" s="87">
        <v>-23.253979999999999</v>
      </c>
      <c r="H65" s="88">
        <v>33.58052</v>
      </c>
      <c r="I65" s="89">
        <v>-32.088149999999999</v>
      </c>
      <c r="J65" s="89">
        <v>-6.8609059999999999</v>
      </c>
      <c r="K65" s="90">
        <v>7.769501</v>
      </c>
      <c r="N65" s="1">
        <f>D!E63</f>
        <v>8.196417336566111E-3</v>
      </c>
      <c r="O65" s="25">
        <f>N65*Table22[[#This Row],[2020]]</f>
        <v>-0.1905993248161616</v>
      </c>
      <c r="P65" s="16">
        <f>N65*Table22[[#This Row],[2019]]</f>
        <v>0.27523995629890502</v>
      </c>
      <c r="Q65" s="15">
        <f>N65*Table22[[#This Row],[2018]]</f>
        <v>-0.26300786895833383</v>
      </c>
      <c r="R65" s="15">
        <f>N65*Table22[[#This Row],[2017]]</f>
        <v>-5.6234848882950453E-2</v>
      </c>
      <c r="S65" s="24">
        <f>N65*Table22[[#This Row],[2016]]</f>
        <v>6.3682072692867742E-2</v>
      </c>
      <c r="V65">
        <f t="shared" si="1"/>
        <v>4.7393364928909956E-3</v>
      </c>
      <c r="W65" s="25">
        <f>V65*Table22[[#This Row],[2020]]</f>
        <v>-0.11020843601895734</v>
      </c>
      <c r="X65" s="16">
        <f>V65*Table22[[#This Row],[2019]]</f>
        <v>0.15914938388625594</v>
      </c>
      <c r="Y65" s="15">
        <f>V65*Table22[[#This Row],[2018]]</f>
        <v>-0.15207654028436018</v>
      </c>
      <c r="Z65" s="15">
        <f>V65*Table22[[#This Row],[2017]]</f>
        <v>-3.2516142180094791E-2</v>
      </c>
      <c r="AA65" s="24">
        <f>V65*Table22[[#This Row],[2016]]</f>
        <v>3.6822279620853084E-2</v>
      </c>
    </row>
    <row r="66" spans="1:27" x14ac:dyDescent="0.35">
      <c r="A66" s="83" t="s">
        <v>261</v>
      </c>
      <c r="B66" s="84" t="s">
        <v>759</v>
      </c>
      <c r="C66" s="84" t="str">
        <f>Table22[[#This Row],[Ticker]]&amp; ( "US EQUITY")</f>
        <v>GISUS EQUITY</v>
      </c>
      <c r="D66" s="85">
        <v>0.52757428518034011</v>
      </c>
      <c r="E66" s="85">
        <v>0.47242571481965989</v>
      </c>
      <c r="F66" s="86">
        <f>_xlfn.XLOOKUP(Table22[[#This Row],[Ticker]],D!B:B,D!D:D,"not found")</f>
        <v>34210000000</v>
      </c>
      <c r="G66" s="87">
        <v>13.59633</v>
      </c>
      <c r="H66" s="88">
        <v>43.12424</v>
      </c>
      <c r="I66" s="89">
        <v>-31.55209</v>
      </c>
      <c r="J66" s="89">
        <v>-0.63415169999999998</v>
      </c>
      <c r="K66" s="90">
        <v>10.338010000000001</v>
      </c>
      <c r="N66" s="1">
        <f>D!E64</f>
        <v>3.7896937029858989E-3</v>
      </c>
      <c r="O66" s="25">
        <f>N66*Table22[[#This Row],[2020]]</f>
        <v>5.1525926184718268E-2</v>
      </c>
      <c r="P66" s="16">
        <f>N66*Table22[[#This Row],[2019]]</f>
        <v>0.16342766077405263</v>
      </c>
      <c r="Q66" s="15">
        <f>N66*Table22[[#This Row],[2018]]</f>
        <v>-0.11957275678904435</v>
      </c>
      <c r="R66" s="15">
        <f>N66*Table22[[#This Row],[2017]]</f>
        <v>-2.4032407042278029E-3</v>
      </c>
      <c r="S66" s="24">
        <f>N66*Table22[[#This Row],[2016]]</f>
        <v>3.9177891398405253E-2</v>
      </c>
      <c r="V66">
        <f t="shared" si="1"/>
        <v>4.7393364928909956E-3</v>
      </c>
      <c r="W66" s="25">
        <f>V66*Table22[[#This Row],[2020]]</f>
        <v>6.4437582938388624E-2</v>
      </c>
      <c r="X66" s="16">
        <f>V66*Table22[[#This Row],[2019]]</f>
        <v>0.2043802843601896</v>
      </c>
      <c r="Y66" s="15">
        <f>V66*Table22[[#This Row],[2018]]</f>
        <v>-0.14953597156398105</v>
      </c>
      <c r="Z66" s="15">
        <f>V66*Table22[[#This Row],[2017]]</f>
        <v>-3.0054582938388629E-3</v>
      </c>
      <c r="AA66" s="24">
        <f>V66*Table22[[#This Row],[2016]]</f>
        <v>4.8995308056872043E-2</v>
      </c>
    </row>
    <row r="67" spans="1:27" x14ac:dyDescent="0.35">
      <c r="A67" s="83" t="s">
        <v>293</v>
      </c>
      <c r="B67" s="84" t="s">
        <v>790</v>
      </c>
      <c r="C67" s="84" t="str">
        <f>Table22[[#This Row],[Ticker]]&amp; ( "US EQUITY")</f>
        <v>IPGUS EQUITY</v>
      </c>
      <c r="D67" s="85">
        <v>0.61729018656183776</v>
      </c>
      <c r="E67" s="85">
        <v>0.38270981343816229</v>
      </c>
      <c r="F67" s="86">
        <f>_xlfn.XLOOKUP(Table22[[#This Row],[Ticker]],D!B:B,D!D:D,"not found")</f>
        <v>9390000000</v>
      </c>
      <c r="G67" s="87">
        <v>7.2847010000000001</v>
      </c>
      <c r="H67" s="88">
        <v>16.93411</v>
      </c>
      <c r="I67" s="89">
        <v>6.0872200000000003</v>
      </c>
      <c r="J67" s="89">
        <v>-11.03412</v>
      </c>
      <c r="K67" s="90">
        <v>3.1967639999999999</v>
      </c>
      <c r="N67" s="1">
        <f>D!E65</f>
        <v>1.0401994700683305E-3</v>
      </c>
      <c r="O67" s="25">
        <f>N67*Table22[[#This Row],[2020]]</f>
        <v>7.5775421198062375E-3</v>
      </c>
      <c r="P67" s="16">
        <f>N67*Table22[[#This Row],[2019]]</f>
        <v>1.7614852248078818E-2</v>
      </c>
      <c r="Q67" s="15">
        <f>N67*Table22[[#This Row],[2018]]</f>
        <v>6.331923018189343E-3</v>
      </c>
      <c r="R67" s="15">
        <f>N67*Table22[[#This Row],[2017]]</f>
        <v>-1.1477685776670367E-2</v>
      </c>
      <c r="S67" s="24">
        <f>N67*Table22[[#This Row],[2016]]</f>
        <v>3.3252722187335163E-3</v>
      </c>
      <c r="V67">
        <f t="shared" si="1"/>
        <v>4.7393364928909956E-3</v>
      </c>
      <c r="W67" s="25">
        <f>V67*Table22[[#This Row],[2020]]</f>
        <v>3.4524649289099527E-2</v>
      </c>
      <c r="X67" s="16">
        <f>V67*Table22[[#This Row],[2019]]</f>
        <v>8.0256445497630335E-2</v>
      </c>
      <c r="Y67" s="15">
        <f>V67*Table22[[#This Row],[2018]]</f>
        <v>2.8849383886255929E-2</v>
      </c>
      <c r="Z67" s="15">
        <f>V67*Table22[[#This Row],[2017]]</f>
        <v>-5.2294407582938393E-2</v>
      </c>
      <c r="AA67" s="24">
        <f>V67*Table22[[#This Row],[2016]]</f>
        <v>1.515054028436019E-2</v>
      </c>
    </row>
    <row r="68" spans="1:27" x14ac:dyDescent="0.35">
      <c r="A68" s="83" t="s">
        <v>434</v>
      </c>
      <c r="B68" s="84" t="s">
        <v>927</v>
      </c>
      <c r="C68" s="84" t="str">
        <f>Table22[[#This Row],[Ticker]]&amp; ( "US EQUITY")</f>
        <v>STTUS EQUITY</v>
      </c>
      <c r="D68" s="85">
        <v>0.52323848745788093</v>
      </c>
      <c r="E68" s="85">
        <v>0.47676151254211907</v>
      </c>
      <c r="F68" s="86">
        <f>_xlfn.XLOOKUP(Table22[[#This Row],[Ticker]],D!B:B,D!D:D,"not found")</f>
        <v>26520000000</v>
      </c>
      <c r="G68" s="87">
        <v>-4.8354270000000001</v>
      </c>
      <c r="H68" s="88">
        <v>29.33456</v>
      </c>
      <c r="I68" s="89">
        <v>-33.966749999999998</v>
      </c>
      <c r="J68" s="89">
        <v>27.8278</v>
      </c>
      <c r="K68" s="90">
        <v>19.807320000000001</v>
      </c>
      <c r="N68" s="1">
        <f>D!E66</f>
        <v>2.9378157557201413E-3</v>
      </c>
      <c r="O68" s="25">
        <f>N68*Table22[[#This Row],[2020]]</f>
        <v>-1.4205593626234575E-2</v>
      </c>
      <c r="P68" s="16">
        <f>N68*Table22[[#This Row],[2019]]</f>
        <v>8.617953255511783E-2</v>
      </c>
      <c r="Q68" s="15">
        <f>N68*Table22[[#This Row],[2018]]</f>
        <v>-9.9788053320607098E-2</v>
      </c>
      <c r="R68" s="15">
        <f>N68*Table22[[#This Row],[2017]]</f>
        <v>8.1752949287028948E-2</v>
      </c>
      <c r="S68" s="24">
        <f>N68*Table22[[#This Row],[2016]]</f>
        <v>5.8190256774590672E-2</v>
      </c>
      <c r="V68">
        <f t="shared" si="1"/>
        <v>4.7393364928909956E-3</v>
      </c>
      <c r="W68" s="25">
        <f>V68*Table22[[#This Row],[2020]]</f>
        <v>-2.2916715639810428E-2</v>
      </c>
      <c r="X68" s="16">
        <f>V68*Table22[[#This Row],[2019]]</f>
        <v>0.13902635071090047</v>
      </c>
      <c r="Y68" s="15">
        <f>V68*Table22[[#This Row],[2018]]</f>
        <v>-0.1609798578199052</v>
      </c>
      <c r="Z68" s="15">
        <f>V68*Table22[[#This Row],[2017]]</f>
        <v>0.13188530805687204</v>
      </c>
      <c r="AA68" s="24">
        <f>V68*Table22[[#This Row],[2016]]</f>
        <v>9.3873554502369685E-2</v>
      </c>
    </row>
    <row r="69" spans="1:27" x14ac:dyDescent="0.35">
      <c r="A69" s="83" t="s">
        <v>188</v>
      </c>
      <c r="B69" s="84" t="s">
        <v>690</v>
      </c>
      <c r="C69" s="84" t="str">
        <f>Table22[[#This Row],[Ticker]]&amp; ( "US EQUITY")</f>
        <v>STZUS EQUITY</v>
      </c>
      <c r="D69" s="85">
        <v>0.55050953190288932</v>
      </c>
      <c r="E69" s="85">
        <v>0.44949046809711068</v>
      </c>
      <c r="F69" s="86">
        <f>_xlfn.XLOOKUP(Table22[[#This Row],[Ticker]],D!B:B,D!D:D,"not found")</f>
        <v>28420000000</v>
      </c>
      <c r="G69" s="87">
        <v>17.391960000000001</v>
      </c>
      <c r="H69" s="88">
        <v>19.867270000000001</v>
      </c>
      <c r="I69" s="89">
        <v>-28.72419</v>
      </c>
      <c r="J69" s="89">
        <v>50.677480000000003</v>
      </c>
      <c r="K69" s="90">
        <v>8.6812020000000008</v>
      </c>
      <c r="N69" s="1">
        <f>D!E67</f>
        <v>3.1482927517936057E-3</v>
      </c>
      <c r="O69" s="25">
        <f>N69*Table22[[#This Row],[2020]]</f>
        <v>5.4754981607484321E-2</v>
      </c>
      <c r="P69" s="16">
        <f>N69*Table22[[#This Row],[2019]]</f>
        <v>6.2547982138926553E-2</v>
      </c>
      <c r="Q69" s="15">
        <f>N69*Table22[[#This Row],[2018]]</f>
        <v>-9.0432159178142374E-2</v>
      </c>
      <c r="R69" s="15">
        <f>N69*Table22[[#This Row],[2017]]</f>
        <v>0.15954754296316542</v>
      </c>
      <c r="S69" s="24">
        <f>N69*Table22[[#This Row],[2016]]</f>
        <v>2.7330965333456157E-2</v>
      </c>
      <c r="V69">
        <f t="shared" ref="V69:V132" si="2">1/211</f>
        <v>4.7393364928909956E-3</v>
      </c>
      <c r="W69" s="25">
        <f>V69*Table22[[#This Row],[2020]]</f>
        <v>8.2426350710900487E-2</v>
      </c>
      <c r="X69" s="16">
        <f>V69*Table22[[#This Row],[2019]]</f>
        <v>9.4157677725118502E-2</v>
      </c>
      <c r="Y69" s="15">
        <f>V69*Table22[[#This Row],[2018]]</f>
        <v>-0.13613360189573462</v>
      </c>
      <c r="Z69" s="15">
        <f>V69*Table22[[#This Row],[2017]]</f>
        <v>0.24017763033175357</v>
      </c>
      <c r="AA69" s="24">
        <f>V69*Table22[[#This Row],[2016]]</f>
        <v>4.1143137440758301E-2</v>
      </c>
    </row>
    <row r="70" spans="1:27" x14ac:dyDescent="0.35">
      <c r="A70" s="83" t="s">
        <v>410</v>
      </c>
      <c r="B70" s="84" t="s">
        <v>905</v>
      </c>
      <c r="C70" s="84" t="str">
        <f>Table22[[#This Row],[Ticker]]&amp; ( "US EQUITY")</f>
        <v>REGNUS EQUITY</v>
      </c>
      <c r="D70" s="85">
        <v>0.63489245351804591</v>
      </c>
      <c r="E70" s="85">
        <v>0.36510754648195404</v>
      </c>
      <c r="F70" s="86">
        <f>_xlfn.XLOOKUP(Table22[[#This Row],[Ticker]],D!B:B,D!D:D,"not found")</f>
        <v>56810000000</v>
      </c>
      <c r="G70" s="87">
        <v>28.664660000000001</v>
      </c>
      <c r="H70" s="88">
        <v>0.53011180000000002</v>
      </c>
      <c r="I70" s="89">
        <v>-0.65432789999999996</v>
      </c>
      <c r="J70" s="89">
        <v>2.4163009999999998</v>
      </c>
      <c r="K70" s="90">
        <v>-32.379759999999997</v>
      </c>
      <c r="N70" s="1">
        <f>D!E68</f>
        <v>6.2932621825965776E-3</v>
      </c>
      <c r="O70" s="25">
        <f>N70*Table22[[#This Row],[2020]]</f>
        <v>0.18039422075498882</v>
      </c>
      <c r="P70" s="16">
        <f>N70*Table22[[#This Row],[2019]]</f>
        <v>3.3361325434882005E-3</v>
      </c>
      <c r="Q70" s="15">
        <f>N70*Table22[[#This Row],[2018]]</f>
        <v>-4.117857028087835E-3</v>
      </c>
      <c r="R70" s="15">
        <f>N70*Table22[[#This Row],[2017]]</f>
        <v>1.5206415705070291E-2</v>
      </c>
      <c r="S70" s="24">
        <f>N70*Table22[[#This Row],[2016]]</f>
        <v>-0.20377431908955335</v>
      </c>
      <c r="V70">
        <f t="shared" si="2"/>
        <v>4.7393364928909956E-3</v>
      </c>
      <c r="W70" s="25">
        <f>V70*Table22[[#This Row],[2020]]</f>
        <v>0.13585146919431282</v>
      </c>
      <c r="X70" s="16">
        <f>V70*Table22[[#This Row],[2019]]</f>
        <v>2.5123781990521329E-3</v>
      </c>
      <c r="Y70" s="15">
        <f>V70*Table22[[#This Row],[2018]]</f>
        <v>-3.1010800947867301E-3</v>
      </c>
      <c r="Z70" s="15">
        <f>V70*Table22[[#This Row],[2017]]</f>
        <v>1.1451663507109005E-2</v>
      </c>
      <c r="AA70" s="24">
        <f>V70*Table22[[#This Row],[2016]]</f>
        <v>-0.15345857819905212</v>
      </c>
    </row>
    <row r="71" spans="1:27" x14ac:dyDescent="0.35">
      <c r="A71" s="83" t="s">
        <v>144</v>
      </c>
      <c r="B71" s="84" t="s">
        <v>648</v>
      </c>
      <c r="C71" s="84" t="str">
        <f>Table22[[#This Row],[Ticker]]&amp; ( "US EQUITY")</f>
        <v>AVGOUS EQUITY</v>
      </c>
      <c r="D71" s="85">
        <v>0.5503002189322177</v>
      </c>
      <c r="E71" s="85">
        <v>0.4496997810677823</v>
      </c>
      <c r="F71" s="86">
        <f>_xlfn.XLOOKUP(Table22[[#This Row],[Ticker]],D!B:B,D!D:D,"not found")</f>
        <v>40130000000</v>
      </c>
      <c r="G71" s="87">
        <v>44.912570000000002</v>
      </c>
      <c r="H71" s="88">
        <v>29.107510000000001</v>
      </c>
      <c r="I71" s="89">
        <v>2.1582720000000002</v>
      </c>
      <c r="J71" s="89">
        <v>48.19558</v>
      </c>
      <c r="K71" s="90">
        <v>23.639420000000001</v>
      </c>
      <c r="N71" s="1">
        <f>D!E69</f>
        <v>4.4454957118042716E-3</v>
      </c>
      <c r="O71" s="25">
        <f>N71*Table22[[#This Row],[2020]]</f>
        <v>0.1996586373411092</v>
      </c>
      <c r="P71" s="16">
        <f>N71*Table22[[#This Row],[2019]]</f>
        <v>0.12939731088629997</v>
      </c>
      <c r="Q71" s="15">
        <f>N71*Table22[[#This Row],[2018]]</f>
        <v>9.5945889209072301E-3</v>
      </c>
      <c r="R71" s="15">
        <f>N71*Table22[[#This Row],[2017]]</f>
        <v>0.21425324421791972</v>
      </c>
      <c r="S71" s="24">
        <f>N71*Table22[[#This Row],[2016]]</f>
        <v>0.10508894023954014</v>
      </c>
      <c r="V71">
        <f t="shared" si="2"/>
        <v>4.7393364928909956E-3</v>
      </c>
      <c r="W71" s="25">
        <f>V71*Table22[[#This Row],[2020]]</f>
        <v>0.21285578199052135</v>
      </c>
      <c r="X71" s="16">
        <f>V71*Table22[[#This Row],[2019]]</f>
        <v>0.13795028436018958</v>
      </c>
      <c r="Y71" s="15">
        <f>V71*Table22[[#This Row],[2018]]</f>
        <v>1.0228777251184836E-2</v>
      </c>
      <c r="Z71" s="15">
        <f>V71*Table22[[#This Row],[2017]]</f>
        <v>0.22841507109004741</v>
      </c>
      <c r="AA71" s="24">
        <f>V71*Table22[[#This Row],[2016]]</f>
        <v>0.11203516587677727</v>
      </c>
    </row>
    <row r="72" spans="1:27" x14ac:dyDescent="0.35">
      <c r="A72" s="83" t="s">
        <v>383</v>
      </c>
      <c r="B72" s="84" t="s">
        <v>879</v>
      </c>
      <c r="C72" s="84" t="str">
        <f>Table22[[#This Row],[Ticker]]&amp; ( "US EQUITY")</f>
        <v>PYPLUS EQUITY</v>
      </c>
      <c r="D72" s="85">
        <v>0.70411645916677423</v>
      </c>
      <c r="E72" s="85">
        <v>0.29588354083322571</v>
      </c>
      <c r="F72" s="86">
        <f>_xlfn.XLOOKUP(Table22[[#This Row],[Ticker]],D!B:B,D!D:D,"not found")</f>
        <v>44310000000</v>
      </c>
      <c r="G72" s="87">
        <v>116.5111</v>
      </c>
      <c r="H72" s="88">
        <v>28.63598</v>
      </c>
      <c r="I72" s="89">
        <v>14.22167</v>
      </c>
      <c r="J72" s="89">
        <v>86.5214</v>
      </c>
      <c r="K72" s="90">
        <v>9.0331550000000007</v>
      </c>
      <c r="N72" s="1">
        <f>D!E70</f>
        <v>4.9085451031658919E-3</v>
      </c>
      <c r="O72" s="25">
        <f>N72*Table22[[#This Row],[2020]]</f>
        <v>0.57189998936947151</v>
      </c>
      <c r="P72" s="16">
        <f>N72*Table22[[#This Row],[2019]]</f>
        <v>0.14056099940335642</v>
      </c>
      <c r="Q72" s="15">
        <f>N72*Table22[[#This Row],[2018]]</f>
        <v>6.9807708637341273E-2</v>
      </c>
      <c r="R72" s="15">
        <f>N72*Table22[[#This Row],[2017]]</f>
        <v>0.42469419428905741</v>
      </c>
      <c r="S72" s="24">
        <f>N72*Table22[[#This Row],[2016]]</f>
        <v>4.4339648741388495E-2</v>
      </c>
      <c r="V72">
        <f t="shared" si="2"/>
        <v>4.7393364928909956E-3</v>
      </c>
      <c r="W72" s="25">
        <f>V72*Table22[[#This Row],[2020]]</f>
        <v>0.55218530805687205</v>
      </c>
      <c r="X72" s="16">
        <f>V72*Table22[[#This Row],[2019]]</f>
        <v>0.1357155450236967</v>
      </c>
      <c r="Y72" s="15">
        <f>V72*Table22[[#This Row],[2018]]</f>
        <v>6.7401279620853086E-2</v>
      </c>
      <c r="Z72" s="15">
        <f>V72*Table22[[#This Row],[2017]]</f>
        <v>0.41005402843601901</v>
      </c>
      <c r="AA72" s="24">
        <f>V72*Table22[[#This Row],[2016]]</f>
        <v>4.2811161137440767E-2</v>
      </c>
    </row>
    <row r="73" spans="1:27" x14ac:dyDescent="0.35">
      <c r="A73" s="83" t="s">
        <v>507</v>
      </c>
      <c r="B73" s="84" t="s">
        <v>508</v>
      </c>
      <c r="C73" s="84" t="str">
        <f>Table22[[#This Row],[Ticker]]&amp; ( "US EQUITY")</f>
        <v>XRXUS EQUITY</v>
      </c>
      <c r="D73" s="85">
        <v>0.54138554216867474</v>
      </c>
      <c r="E73" s="85">
        <v>0.45861445783132532</v>
      </c>
      <c r="F73" s="86">
        <f>_xlfn.XLOOKUP(Table22[[#This Row],[Ticker]],D!B:B,D!D:D,"not found")</f>
        <v>10770000000</v>
      </c>
      <c r="G73" s="87">
        <v>-33.575069999999997</v>
      </c>
      <c r="H73" s="88">
        <v>92.231539999999995</v>
      </c>
      <c r="I73" s="89">
        <v>-29.38654</v>
      </c>
      <c r="J73" s="89">
        <v>30.9741</v>
      </c>
      <c r="K73" s="90">
        <v>-15.23761</v>
      </c>
      <c r="N73" s="1">
        <f>D!E71</f>
        <v>1.1930722356374782E-3</v>
      </c>
      <c r="O73" s="25">
        <f>N73*Table22[[#This Row],[2020]]</f>
        <v>-4.0057483826584819E-2</v>
      </c>
      <c r="P73" s="16">
        <f>N73*Table22[[#This Row],[2019]]</f>
        <v>0.11003888962408749</v>
      </c>
      <c r="Q73" s="15">
        <f>N73*Table22[[#This Row],[2018]]</f>
        <v>-3.506026497545018E-2</v>
      </c>
      <c r="R73" s="15">
        <f>N73*Table22[[#This Row],[2017]]</f>
        <v>3.695433873385881E-2</v>
      </c>
      <c r="S73" s="24">
        <f>N73*Table22[[#This Row],[2016]]</f>
        <v>-1.8179569428471994E-2</v>
      </c>
      <c r="V73">
        <f t="shared" si="2"/>
        <v>4.7393364928909956E-3</v>
      </c>
      <c r="W73" s="25">
        <f>V73*Table22[[#This Row],[2020]]</f>
        <v>-0.15912355450236967</v>
      </c>
      <c r="X73" s="16">
        <f>V73*Table22[[#This Row],[2019]]</f>
        <v>0.43711630331753554</v>
      </c>
      <c r="Y73" s="15">
        <f>V73*Table22[[#This Row],[2018]]</f>
        <v>-0.13927270142180095</v>
      </c>
      <c r="Z73" s="15">
        <f>V73*Table22[[#This Row],[2017]]</f>
        <v>0.14679668246445499</v>
      </c>
      <c r="AA73" s="24">
        <f>V73*Table22[[#This Row],[2016]]</f>
        <v>-7.2216161137440768E-2</v>
      </c>
    </row>
    <row r="74" spans="1:27" x14ac:dyDescent="0.35">
      <c r="A74" s="83" t="s">
        <v>137</v>
      </c>
      <c r="B74" s="84" t="s">
        <v>641</v>
      </c>
      <c r="C74" s="84" t="str">
        <f>Table22[[#This Row],[Ticker]]&amp; ( "US EQUITY")</f>
        <v>BIIBUS EQUITY</v>
      </c>
      <c r="D74" s="85">
        <v>0.60262088656246571</v>
      </c>
      <c r="E74" s="85">
        <v>0.39737911343753429</v>
      </c>
      <c r="F74" s="86">
        <f>_xlfn.XLOOKUP(Table22[[#This Row],[Ticker]],D!B:B,D!D:D,"not found")</f>
        <v>66970000000</v>
      </c>
      <c r="G74" s="87">
        <v>-17.480540000000001</v>
      </c>
      <c r="H74" s="88">
        <v>-1.3923939999999999</v>
      </c>
      <c r="I74" s="89">
        <v>-5.5403950000000002</v>
      </c>
      <c r="J74" s="89">
        <v>21.96125</v>
      </c>
      <c r="K74" s="90">
        <v>-7.4326809999999996</v>
      </c>
      <c r="N74" s="1">
        <f>D!E72</f>
        <v>7.4187602247578381E-3</v>
      </c>
      <c r="O74" s="25">
        <f>N74*Table22[[#This Row],[2020]]</f>
        <v>-0.12968393485928839</v>
      </c>
      <c r="P74" s="16">
        <f>N74*Table22[[#This Row],[2019]]</f>
        <v>-1.0329837224391465E-2</v>
      </c>
      <c r="Q74" s="15">
        <f>N74*Table22[[#This Row],[2018]]</f>
        <v>-4.1102862055447206E-2</v>
      </c>
      <c r="R74" s="15">
        <f>N74*Table22[[#This Row],[2017]]</f>
        <v>0.16292524798596308</v>
      </c>
      <c r="S74" s="24">
        <f>N74*Table22[[#This Row],[2016]]</f>
        <v>-5.5141278166113313E-2</v>
      </c>
      <c r="V74">
        <f t="shared" si="2"/>
        <v>4.7393364928909956E-3</v>
      </c>
      <c r="W74" s="25">
        <f>V74*Table22[[#This Row],[2020]]</f>
        <v>-8.2846161137440769E-2</v>
      </c>
      <c r="X74" s="16">
        <f>V74*Table22[[#This Row],[2019]]</f>
        <v>-6.5990236966824642E-3</v>
      </c>
      <c r="Y74" s="15">
        <f>V74*Table22[[#This Row],[2018]]</f>
        <v>-2.6257796208530807E-2</v>
      </c>
      <c r="Z74" s="15">
        <f>V74*Table22[[#This Row],[2017]]</f>
        <v>0.10408175355450237</v>
      </c>
      <c r="AA74" s="24">
        <f>V74*Table22[[#This Row],[2016]]</f>
        <v>-3.5225976303317537E-2</v>
      </c>
    </row>
    <row r="75" spans="1:27" x14ac:dyDescent="0.35">
      <c r="A75" s="83" t="s">
        <v>173</v>
      </c>
      <c r="B75" s="84" t="s">
        <v>677</v>
      </c>
      <c r="C75" s="84" t="str">
        <f>Table22[[#This Row],[Ticker]]&amp; ( "US EQUITY")</f>
        <v>CFGUS EQUITY</v>
      </c>
      <c r="D75" s="85">
        <v>0.50079535594760982</v>
      </c>
      <c r="E75" s="85">
        <v>0.49920464405239018</v>
      </c>
      <c r="F75" s="86">
        <f>_xlfn.XLOOKUP(Table22[[#This Row],[Ticker]],D!B:B,D!D:D,"not found")</f>
        <v>13820000000</v>
      </c>
      <c r="G75" s="87">
        <v>-6.6774129999999996</v>
      </c>
      <c r="H75" s="88">
        <v>41.824010000000001</v>
      </c>
      <c r="I75" s="89">
        <v>-27.43796</v>
      </c>
      <c r="J75" s="89">
        <v>19.898389999999999</v>
      </c>
      <c r="K75" s="90">
        <v>38.80124</v>
      </c>
      <c r="N75" s="1">
        <f>D!E73</f>
        <v>1.5309432030185654E-3</v>
      </c>
      <c r="O75" s="25">
        <f>N75*Table22[[#This Row],[2020]]</f>
        <v>-1.0222740046097807E-2</v>
      </c>
      <c r="P75" s="16">
        <f>N75*Table22[[#This Row],[2019]]</f>
        <v>6.4030183832480506E-2</v>
      </c>
      <c r="Q75" s="15">
        <f>N75*Table22[[#This Row],[2018]]</f>
        <v>-4.2005958366695274E-2</v>
      </c>
      <c r="R75" s="15">
        <f>N75*Table22[[#This Row],[2017]]</f>
        <v>3.0463304921512589E-2</v>
      </c>
      <c r="S75" s="24">
        <f>N75*Table22[[#This Row],[2016]]</f>
        <v>5.9402494646692082E-2</v>
      </c>
      <c r="V75">
        <f t="shared" si="2"/>
        <v>4.7393364928909956E-3</v>
      </c>
      <c r="W75" s="25">
        <f>V75*Table22[[#This Row],[2020]]</f>
        <v>-3.164650710900474E-2</v>
      </c>
      <c r="X75" s="16">
        <f>V75*Table22[[#This Row],[2019]]</f>
        <v>0.19821805687203795</v>
      </c>
      <c r="Y75" s="15">
        <f>V75*Table22[[#This Row],[2018]]</f>
        <v>-0.13003772511848341</v>
      </c>
      <c r="Z75" s="15">
        <f>V75*Table22[[#This Row],[2017]]</f>
        <v>9.4305165876777258E-2</v>
      </c>
      <c r="AA75" s="24">
        <f>V75*Table22[[#This Row],[2016]]</f>
        <v>0.18389213270142182</v>
      </c>
    </row>
    <row r="76" spans="1:27" x14ac:dyDescent="0.35">
      <c r="A76" s="83" t="s">
        <v>50</v>
      </c>
      <c r="B76" s="84" t="s">
        <v>558</v>
      </c>
      <c r="C76" s="84" t="str">
        <f>Table22[[#This Row],[Ticker]]&amp; ( "US EQUITY")</f>
        <v>PEGUS EQUITY</v>
      </c>
      <c r="D76" s="85">
        <v>0.60109440376569034</v>
      </c>
      <c r="E76" s="85">
        <v>0.3989055962343096</v>
      </c>
      <c r="F76" s="86">
        <f>_xlfn.XLOOKUP(Table22[[#This Row],[Ticker]],D!B:B,D!D:D,"not found")</f>
        <v>19580000000</v>
      </c>
      <c r="G76" s="87">
        <v>2.3849840000000002</v>
      </c>
      <c r="H76" s="88">
        <v>17.082750000000001</v>
      </c>
      <c r="I76" s="89">
        <v>4.6706440000000002</v>
      </c>
      <c r="J76" s="89">
        <v>21.773350000000001</v>
      </c>
      <c r="K76" s="90">
        <v>17.778590000000001</v>
      </c>
      <c r="N76" s="1">
        <f>D!E74</f>
        <v>2.1690208332202248E-3</v>
      </c>
      <c r="O76" s="25">
        <f>N76*Table22[[#This Row],[2020]]</f>
        <v>5.1730799828969051E-3</v>
      </c>
      <c r="P76" s="16">
        <f>N76*Table22[[#This Row],[2019]]</f>
        <v>3.7052840638692797E-2</v>
      </c>
      <c r="Q76" s="15">
        <f>N76*Table22[[#This Row],[2018]]</f>
        <v>1.0130724140555044E-2</v>
      </c>
      <c r="R76" s="15">
        <f>N76*Table22[[#This Row],[2017]]</f>
        <v>4.7226849758995583E-2</v>
      </c>
      <c r="S76" s="24">
        <f>N76*Table22[[#This Row],[2016]]</f>
        <v>3.8562132095280761E-2</v>
      </c>
      <c r="V76">
        <f t="shared" si="2"/>
        <v>4.7393364928909956E-3</v>
      </c>
      <c r="W76" s="25">
        <f>V76*Table22[[#This Row],[2020]]</f>
        <v>1.1303241706161139E-2</v>
      </c>
      <c r="X76" s="16">
        <f>V76*Table22[[#This Row],[2019]]</f>
        <v>8.0960900473933659E-2</v>
      </c>
      <c r="Y76" s="15">
        <f>V76*Table22[[#This Row],[2018]]</f>
        <v>2.2135753554502372E-2</v>
      </c>
      <c r="Z76" s="15">
        <f>V76*Table22[[#This Row],[2017]]</f>
        <v>0.10319123222748816</v>
      </c>
      <c r="AA76" s="24">
        <f>V76*Table22[[#This Row],[2016]]</f>
        <v>8.4258720379146931E-2</v>
      </c>
    </row>
    <row r="77" spans="1:27" x14ac:dyDescent="0.35">
      <c r="A77" s="83" t="s">
        <v>148</v>
      </c>
      <c r="B77" s="84" t="s">
        <v>652</v>
      </c>
      <c r="C77" s="84" t="str">
        <f>Table22[[#This Row],[Ticker]]&amp; ( "US EQUITY")</f>
        <v>CZRUS EQUITY</v>
      </c>
      <c r="D77" s="85">
        <v>0.55189713322091061</v>
      </c>
      <c r="E77" s="85">
        <v>0.44810286677908939</v>
      </c>
      <c r="F77" s="86">
        <f>_xlfn.XLOOKUP(Table22[[#This Row],[Ticker]],D!B:B,D!D:D,"not found")</f>
        <v>515000000</v>
      </c>
      <c r="G77" s="87">
        <v>24.530550000000002</v>
      </c>
      <c r="H77" s="88">
        <v>64.705889999999997</v>
      </c>
      <c r="I77" s="89">
        <v>9.2307570000000005</v>
      </c>
      <c r="J77" s="89">
        <v>95.575239999999994</v>
      </c>
      <c r="K77" s="90">
        <v>54.090899999999998</v>
      </c>
      <c r="N77" s="1">
        <f>D!E75</f>
        <v>5.7050343672544224E-5</v>
      </c>
      <c r="O77" s="25">
        <f>N77*Table22[[#This Row],[2020]]</f>
        <v>1.3994763079765299E-3</v>
      </c>
      <c r="P77" s="16">
        <f>N77*Table22[[#This Row],[2019]]</f>
        <v>3.6914932621378424E-3</v>
      </c>
      <c r="Q77" s="15">
        <f>N77*Table22[[#This Row],[2018]]</f>
        <v>5.2661785920774331E-4</v>
      </c>
      <c r="R77" s="15">
        <f>N77*Table22[[#This Row],[2017]]</f>
        <v>5.4526002885858949E-3</v>
      </c>
      <c r="S77" s="24">
        <f>N77*Table22[[#This Row],[2016]]</f>
        <v>3.0859044345572222E-3</v>
      </c>
      <c r="V77">
        <f t="shared" si="2"/>
        <v>4.7393364928909956E-3</v>
      </c>
      <c r="W77" s="25">
        <f>V77*Table22[[#This Row],[2020]]</f>
        <v>0.11625853080568722</v>
      </c>
      <c r="X77" s="16">
        <f>V77*Table22[[#This Row],[2019]]</f>
        <v>0.30666298578199053</v>
      </c>
      <c r="Y77" s="15">
        <f>V77*Table22[[#This Row],[2018]]</f>
        <v>4.3747663507109014E-2</v>
      </c>
      <c r="Z77" s="15">
        <f>V77*Table22[[#This Row],[2017]]</f>
        <v>0.45296322274881518</v>
      </c>
      <c r="AA77" s="24">
        <f>V77*Table22[[#This Row],[2016]]</f>
        <v>0.25635497630331755</v>
      </c>
    </row>
    <row r="78" spans="1:27" x14ac:dyDescent="0.35">
      <c r="A78" s="83" t="s">
        <v>195</v>
      </c>
      <c r="B78" s="84" t="s">
        <v>697</v>
      </c>
      <c r="C78" s="84" t="str">
        <f>Table22[[#This Row],[Ticker]]&amp; ( "US EQUITY")</f>
        <v>CMIUS EQUITY</v>
      </c>
      <c r="D78" s="85">
        <v>0.58122215485197581</v>
      </c>
      <c r="E78" s="85">
        <v>0.41877784514802413</v>
      </c>
      <c r="F78" s="86">
        <f>_xlfn.XLOOKUP(Table22[[#This Row],[Ticker]],D!B:B,D!D:D,"not found")</f>
        <v>15420000000</v>
      </c>
      <c r="G78" s="87">
        <v>30.519939999999998</v>
      </c>
      <c r="H78" s="88">
        <v>38.081470000000003</v>
      </c>
      <c r="I78" s="89">
        <v>-22.085999999999999</v>
      </c>
      <c r="J78" s="89">
        <v>32.754399999999997</v>
      </c>
      <c r="K78" s="90">
        <v>60.715479999999999</v>
      </c>
      <c r="N78" s="1">
        <f>D!E76</f>
        <v>1.708186989185693E-3</v>
      </c>
      <c r="O78" s="25">
        <f>N78*Table22[[#This Row],[2020]]</f>
        <v>5.2133764418727996E-2</v>
      </c>
      <c r="P78" s="16">
        <f>N78*Table22[[#This Row],[2019]]</f>
        <v>6.5050271583065297E-2</v>
      </c>
      <c r="Q78" s="15">
        <f>N78*Table22[[#This Row],[2018]]</f>
        <v>-3.7727017843155214E-2</v>
      </c>
      <c r="R78" s="15">
        <f>N78*Table22[[#This Row],[2017]]</f>
        <v>5.5950639918583858E-2</v>
      </c>
      <c r="S78" s="24">
        <f>N78*Table22[[#This Row],[2016]]</f>
        <v>0.10371339297816416</v>
      </c>
      <c r="V78">
        <f t="shared" si="2"/>
        <v>4.7393364928909956E-3</v>
      </c>
      <c r="W78" s="25">
        <f>V78*Table22[[#This Row],[2020]]</f>
        <v>0.14464426540284361</v>
      </c>
      <c r="X78" s="16">
        <f>V78*Table22[[#This Row],[2019]]</f>
        <v>0.18048090047393367</v>
      </c>
      <c r="Y78" s="15">
        <f>V78*Table22[[#This Row],[2018]]</f>
        <v>-0.10467298578199052</v>
      </c>
      <c r="Z78" s="15">
        <f>V78*Table22[[#This Row],[2017]]</f>
        <v>0.15523412322274882</v>
      </c>
      <c r="AA78" s="24">
        <f>V78*Table22[[#This Row],[2016]]</f>
        <v>0.28775109004739341</v>
      </c>
    </row>
    <row r="79" spans="1:27" x14ac:dyDescent="0.35">
      <c r="A79" s="83" t="s">
        <v>256</v>
      </c>
      <c r="B79" s="84" t="s">
        <v>754</v>
      </c>
      <c r="C79" s="84" t="str">
        <f>Table22[[#This Row],[Ticker]]&amp; ( "US EQUITY")</f>
        <v>GPSUS EQUITY</v>
      </c>
      <c r="D79" s="85">
        <v>0.70287997841702354</v>
      </c>
      <c r="E79" s="85">
        <v>0.2971200215829764</v>
      </c>
      <c r="F79" s="86">
        <f>_xlfn.XLOOKUP(Table22[[#This Row],[Ticker]],D!B:B,D!D:D,"not found")</f>
        <v>9930000000</v>
      </c>
      <c r="G79" s="87">
        <v>15.732749999999999</v>
      </c>
      <c r="H79" s="88">
        <v>-28.034880000000001</v>
      </c>
      <c r="I79" s="89">
        <v>-21.97382</v>
      </c>
      <c r="J79" s="89">
        <v>56.087699999999998</v>
      </c>
      <c r="K79" s="90">
        <v>-4.6721279999999998</v>
      </c>
      <c r="N79" s="1">
        <f>D!E77</f>
        <v>1.1000192478997362E-3</v>
      </c>
      <c r="O79" s="25">
        <f>N79*Table22[[#This Row],[2020]]</f>
        <v>1.7306327822394572E-2</v>
      </c>
      <c r="P79" s="16">
        <f>N79*Table22[[#This Row],[2019]]</f>
        <v>-3.0838907612559356E-2</v>
      </c>
      <c r="Q79" s="15">
        <f>N79*Table22[[#This Row],[2018]]</f>
        <v>-2.4171624949884181E-2</v>
      </c>
      <c r="R79" s="15">
        <f>N79*Table22[[#This Row],[2017]]</f>
        <v>6.169754957042603E-2</v>
      </c>
      <c r="S79" s="24">
        <f>N79*Table22[[#This Row],[2016]]</f>
        <v>-5.1394307286512985E-3</v>
      </c>
      <c r="V79">
        <f t="shared" si="2"/>
        <v>4.7393364928909956E-3</v>
      </c>
      <c r="W79" s="25">
        <f>V79*Table22[[#This Row],[2020]]</f>
        <v>7.4562796208530804E-2</v>
      </c>
      <c r="X79" s="16">
        <f>V79*Table22[[#This Row],[2019]]</f>
        <v>-0.13286672985781992</v>
      </c>
      <c r="Y79" s="15">
        <f>V79*Table22[[#This Row],[2018]]</f>
        <v>-0.10414132701421802</v>
      </c>
      <c r="Z79" s="15">
        <f>V79*Table22[[#This Row],[2017]]</f>
        <v>0.26581848341232228</v>
      </c>
      <c r="AA79" s="24">
        <f>V79*Table22[[#This Row],[2016]]</f>
        <v>-2.2142786729857821E-2</v>
      </c>
    </row>
    <row r="80" spans="1:27" x14ac:dyDescent="0.35">
      <c r="A80" s="83" t="s">
        <v>95</v>
      </c>
      <c r="B80" s="84" t="s">
        <v>599</v>
      </c>
      <c r="C80" s="84" t="str">
        <f>Table22[[#This Row],[Ticker]]&amp; ( "US EQUITY")</f>
        <v>LNTUS EQUITY</v>
      </c>
      <c r="D80" s="85">
        <v>0.60617360056533698</v>
      </c>
      <c r="E80" s="85">
        <v>0.39382639943466297</v>
      </c>
      <c r="F80" s="86">
        <f>_xlfn.XLOOKUP(Table22[[#This Row],[Ticker]],D!B:B,D!D:D,"not found")</f>
        <v>7090000000</v>
      </c>
      <c r="G80" s="87">
        <v>-3.1659660000000001</v>
      </c>
      <c r="H80" s="88">
        <v>33.406399999999998</v>
      </c>
      <c r="I80" s="89">
        <v>2.3604989999999999</v>
      </c>
      <c r="J80" s="89">
        <v>16.046890000000001</v>
      </c>
      <c r="K80" s="90">
        <v>25.435320000000001</v>
      </c>
      <c r="N80" s="1">
        <f>D!E78</f>
        <v>7.8541152745308454E-4</v>
      </c>
      <c r="O80" s="25">
        <f>N80*Table22[[#This Row],[2020]]</f>
        <v>-2.4865861919245321E-3</v>
      </c>
      <c r="P80" s="16">
        <f>N80*Table22[[#This Row],[2019]]</f>
        <v>2.6237771650708723E-2</v>
      </c>
      <c r="Q80" s="15">
        <f>N80*Table22[[#This Row],[2018]]</f>
        <v>1.8539631251414785E-3</v>
      </c>
      <c r="R80" s="15">
        <f>N80*Table22[[#This Row],[2017]]</f>
        <v>1.260341238577163E-2</v>
      </c>
      <c r="S80" s="24">
        <f>N80*Table22[[#This Row],[2016]]</f>
        <v>1.9977193532457992E-2</v>
      </c>
      <c r="V80">
        <f t="shared" si="2"/>
        <v>4.7393364928909956E-3</v>
      </c>
      <c r="W80" s="25">
        <f>V80*Table22[[#This Row],[2020]]</f>
        <v>-1.5004578199052133E-2</v>
      </c>
      <c r="X80" s="16">
        <f>V80*Table22[[#This Row],[2019]]</f>
        <v>0.15832417061611376</v>
      </c>
      <c r="Y80" s="15">
        <f>V80*Table22[[#This Row],[2018]]</f>
        <v>1.1187199052132701E-2</v>
      </c>
      <c r="Z80" s="15">
        <f>V80*Table22[[#This Row],[2017]]</f>
        <v>7.6051611374407593E-2</v>
      </c>
      <c r="AA80" s="24">
        <f>V80*Table22[[#This Row],[2016]]</f>
        <v>0.1205465402843602</v>
      </c>
    </row>
    <row r="81" spans="1:27" x14ac:dyDescent="0.35">
      <c r="A81" s="83" t="s">
        <v>365</v>
      </c>
      <c r="B81" s="84" t="s">
        <v>861</v>
      </c>
      <c r="C81" s="84" t="str">
        <f>Table22[[#This Row],[Ticker]]&amp; ( "US EQUITY")</f>
        <v>NTRSUS EQUITY</v>
      </c>
      <c r="D81" s="85">
        <v>0.70554774122484165</v>
      </c>
      <c r="E81" s="85">
        <v>0.29445225877515835</v>
      </c>
      <c r="F81" s="86">
        <f>_xlfn.XLOOKUP(Table22[[#This Row],[Ticker]],D!B:B,D!D:D,"not found")</f>
        <v>16530000000.000002</v>
      </c>
      <c r="G81" s="87">
        <v>-9.1168110000000002</v>
      </c>
      <c r="H81" s="88">
        <v>30.574860000000001</v>
      </c>
      <c r="I81" s="89">
        <v>-14.675689999999999</v>
      </c>
      <c r="J81" s="89">
        <v>14.16563</v>
      </c>
      <c r="K81" s="90">
        <v>26.086200000000002</v>
      </c>
      <c r="N81" s="1">
        <f>D!E79</f>
        <v>1.831149865839138E-3</v>
      </c>
      <c r="O81" s="25">
        <f>N81*Table22[[#This Row],[2020]]</f>
        <v>-1.6694247239530779E-2</v>
      </c>
      <c r="P81" s="16">
        <f>N81*Table22[[#This Row],[2019]]</f>
        <v>5.5987150787050431E-2</v>
      </c>
      <c r="Q81" s="15">
        <f>N81*Table22[[#This Row],[2018]]</f>
        <v>-2.6873387774596778E-2</v>
      </c>
      <c r="R81" s="15">
        <f>N81*Table22[[#This Row],[2017]]</f>
        <v>2.5939391474026869E-2</v>
      </c>
      <c r="S81" s="24">
        <f>N81*Table22[[#This Row],[2016]]</f>
        <v>4.7767741630252929E-2</v>
      </c>
      <c r="V81">
        <f t="shared" si="2"/>
        <v>4.7393364928909956E-3</v>
      </c>
      <c r="W81" s="25">
        <f>V81*Table22[[#This Row],[2020]]</f>
        <v>-4.3207635071090052E-2</v>
      </c>
      <c r="X81" s="16">
        <f>V81*Table22[[#This Row],[2019]]</f>
        <v>0.14490454976303319</v>
      </c>
      <c r="Y81" s="15">
        <f>V81*Table22[[#This Row],[2018]]</f>
        <v>-6.9553033175355453E-2</v>
      </c>
      <c r="Z81" s="15">
        <f>V81*Table22[[#This Row],[2017]]</f>
        <v>6.7135687203791469E-2</v>
      </c>
      <c r="AA81" s="24">
        <f>V81*Table22[[#This Row],[2016]]</f>
        <v>0.1236312796208531</v>
      </c>
    </row>
    <row r="82" spans="1:27" x14ac:dyDescent="0.35">
      <c r="A82" s="83" t="s">
        <v>330</v>
      </c>
      <c r="B82" s="84" t="s">
        <v>827</v>
      </c>
      <c r="C82" s="84" t="str">
        <f>Table22[[#This Row],[Ticker]]&amp; ( "US EQUITY")</f>
        <v>MTBUS EQUITY</v>
      </c>
      <c r="D82" s="85">
        <v>0.8110911296056208</v>
      </c>
      <c r="E82" s="85">
        <v>0.18890887039437915</v>
      </c>
      <c r="F82" s="86">
        <f>_xlfn.XLOOKUP(Table22[[#This Row],[Ticker]],D!B:B,D!D:D,"not found")</f>
        <v>19340000000</v>
      </c>
      <c r="G82" s="87">
        <v>-22.09055</v>
      </c>
      <c r="H82" s="88">
        <v>21.661000000000001</v>
      </c>
      <c r="I82" s="89">
        <v>-14.59503</v>
      </c>
      <c r="J82" s="89">
        <v>11.365589999999999</v>
      </c>
      <c r="K82" s="90">
        <v>32.116459999999996</v>
      </c>
      <c r="N82" s="1">
        <f>D!E80</f>
        <v>2.142434265295156E-3</v>
      </c>
      <c r="O82" s="25">
        <f>N82*Table22[[#This Row],[2020]]</f>
        <v>-4.7327551259215908E-2</v>
      </c>
      <c r="P82" s="16">
        <f>N82*Table22[[#This Row],[2019]]</f>
        <v>4.6407268620558377E-2</v>
      </c>
      <c r="Q82" s="15">
        <f>N82*Table22[[#This Row],[2018]]</f>
        <v>-3.1268892375010758E-2</v>
      </c>
      <c r="R82" s="15">
        <f>N82*Table22[[#This Row],[2017]]</f>
        <v>2.4350029461295969E-2</v>
      </c>
      <c r="S82" s="24">
        <f>N82*Table22[[#This Row],[2016]]</f>
        <v>6.8807404383981252E-2</v>
      </c>
      <c r="V82">
        <f t="shared" si="2"/>
        <v>4.7393364928909956E-3</v>
      </c>
      <c r="W82" s="25">
        <f>V82*Table22[[#This Row],[2020]]</f>
        <v>-0.10469454976303319</v>
      </c>
      <c r="X82" s="16">
        <f>V82*Table22[[#This Row],[2019]]</f>
        <v>0.10265876777251186</v>
      </c>
      <c r="Y82" s="15">
        <f>V82*Table22[[#This Row],[2018]]</f>
        <v>-6.9170758293838869E-2</v>
      </c>
      <c r="Z82" s="15">
        <f>V82*Table22[[#This Row],[2017]]</f>
        <v>5.3865355450236969E-2</v>
      </c>
      <c r="AA82" s="24">
        <f>V82*Table22[[#This Row],[2016]]</f>
        <v>0.15221071090047392</v>
      </c>
    </row>
    <row r="83" spans="1:27" x14ac:dyDescent="0.35">
      <c r="A83" s="83" t="s">
        <v>437</v>
      </c>
      <c r="B83" s="84" t="s">
        <v>930</v>
      </c>
      <c r="C83" s="84" t="str">
        <f>Table22[[#This Row],[Ticker]]&amp; ( "US EQUITY")</f>
        <v>SIVBUS EQUITY</v>
      </c>
      <c r="D83" s="85">
        <v>0.57338597306084538</v>
      </c>
      <c r="E83" s="85">
        <v>0.42661402693915468</v>
      </c>
      <c r="F83" s="86">
        <f>_xlfn.XLOOKUP(Table22[[#This Row],[Ticker]],D!B:B,D!D:D,"not found")</f>
        <v>6140000000</v>
      </c>
      <c r="G83" s="87">
        <v>54.489350000000002</v>
      </c>
      <c r="H83" s="88">
        <v>32.181989999999999</v>
      </c>
      <c r="I83" s="89">
        <v>-18.757770000000001</v>
      </c>
      <c r="J83" s="89">
        <v>36.182009999999998</v>
      </c>
      <c r="K83" s="90">
        <v>44.373420000000003</v>
      </c>
      <c r="N83" s="1">
        <f>D!E81</f>
        <v>6.8017302941635245E-4</v>
      </c>
      <c r="O83" s="25">
        <f>N83*Table22[[#This Row],[2020]]</f>
        <v>3.7062186260427926E-2</v>
      </c>
      <c r="P83" s="16">
        <f>N83*Table22[[#This Row],[2019]]</f>
        <v>2.188932163094676E-2</v>
      </c>
      <c r="Q83" s="15">
        <f>N83*Table22[[#This Row],[2018]]</f>
        <v>-1.2758529245995173E-2</v>
      </c>
      <c r="R83" s="15">
        <f>N83*Table22[[#This Row],[2017]]</f>
        <v>2.4610027352072756E-2</v>
      </c>
      <c r="S83" s="24">
        <f>N83*Table22[[#This Row],[2016]]</f>
        <v>3.0181603506964163E-2</v>
      </c>
      <c r="V83">
        <f t="shared" si="2"/>
        <v>4.7393364928909956E-3</v>
      </c>
      <c r="W83" s="25">
        <f>V83*Table22[[#This Row],[2020]]</f>
        <v>0.25824336492890998</v>
      </c>
      <c r="X83" s="16">
        <f>V83*Table22[[#This Row],[2019]]</f>
        <v>0.1525212796208531</v>
      </c>
      <c r="Y83" s="15">
        <f>V83*Table22[[#This Row],[2018]]</f>
        <v>-8.8899383886255928E-2</v>
      </c>
      <c r="Z83" s="15">
        <f>V83*Table22[[#This Row],[2017]]</f>
        <v>0.17147872037914694</v>
      </c>
      <c r="AA83" s="24">
        <f>V83*Table22[[#This Row],[2016]]</f>
        <v>0.21030056872037917</v>
      </c>
    </row>
    <row r="84" spans="1:27" x14ac:dyDescent="0.35">
      <c r="A84" s="83" t="s">
        <v>367</v>
      </c>
      <c r="B84" s="84" t="s">
        <v>863</v>
      </c>
      <c r="C84" s="84" t="str">
        <f>Table22[[#This Row],[Ticker]]&amp; ( "US EQUITY")</f>
        <v>NLOKUS EQUITY</v>
      </c>
      <c r="D84" s="85">
        <v>0.81258322530578408</v>
      </c>
      <c r="E84" s="85">
        <v>0.18741677469421589</v>
      </c>
      <c r="F84" s="86">
        <f>_xlfn.XLOOKUP(Table22[[#This Row],[Ticker]],D!B:B,D!D:D,"not found")</f>
        <v>14190000000</v>
      </c>
      <c r="G84" s="87">
        <v>41.808219999999999</v>
      </c>
      <c r="H84" s="88">
        <v>37.165680000000002</v>
      </c>
      <c r="I84" s="89">
        <v>-31.75544</v>
      </c>
      <c r="J84" s="89">
        <v>18.690000000000001</v>
      </c>
      <c r="K84" s="90">
        <v>43.745510000000003</v>
      </c>
      <c r="N84" s="1">
        <f>D!E82</f>
        <v>1.5719308285697137E-3</v>
      </c>
      <c r="O84" s="25">
        <f>N84*Table22[[#This Row],[2020]]</f>
        <v>6.5719629905624868E-2</v>
      </c>
      <c r="P84" s="16">
        <f>N84*Table22[[#This Row],[2019]]</f>
        <v>5.842187815675684E-2</v>
      </c>
      <c r="Q84" s="15">
        <f>N84*Table22[[#This Row],[2018]]</f>
        <v>-4.9917355110795827E-2</v>
      </c>
      <c r="R84" s="15">
        <f>N84*Table22[[#This Row],[2017]]</f>
        <v>2.9379387185967953E-2</v>
      </c>
      <c r="S84" s="24">
        <f>N84*Table22[[#This Row],[2016]]</f>
        <v>6.8764915780504698E-2</v>
      </c>
      <c r="V84">
        <f t="shared" si="2"/>
        <v>4.7393364928909956E-3</v>
      </c>
      <c r="W84" s="25">
        <f>V84*Table22[[#This Row],[2020]]</f>
        <v>0.19814322274881518</v>
      </c>
      <c r="X84" s="16">
        <f>V84*Table22[[#This Row],[2019]]</f>
        <v>0.17614066350710902</v>
      </c>
      <c r="Y84" s="15">
        <f>V84*Table22[[#This Row],[2018]]</f>
        <v>-0.15049971563981043</v>
      </c>
      <c r="Z84" s="15">
        <f>V84*Table22[[#This Row],[2017]]</f>
        <v>8.8578199052132711E-2</v>
      </c>
      <c r="AA84" s="24">
        <f>V84*Table22[[#This Row],[2016]]</f>
        <v>0.207324691943128</v>
      </c>
    </row>
    <row r="85" spans="1:27" x14ac:dyDescent="0.35">
      <c r="A85" s="83" t="s">
        <v>90</v>
      </c>
      <c r="B85" s="84" t="s">
        <v>594</v>
      </c>
      <c r="C85" s="84" t="str">
        <f>Table22[[#This Row],[Ticker]]&amp; ( "US EQUITY")</f>
        <v>ALKUS EQUITY</v>
      </c>
      <c r="D85" s="85">
        <v>0.51972495474996527</v>
      </c>
      <c r="E85" s="85">
        <v>0.48027504525003473</v>
      </c>
      <c r="F85" s="86">
        <f>_xlfn.XLOOKUP(Table22[[#This Row],[Ticker]],D!B:B,D!D:D,"not found")</f>
        <v>10080000000</v>
      </c>
      <c r="G85" s="87">
        <v>-22.811869999999999</v>
      </c>
      <c r="H85" s="88">
        <v>13.77506</v>
      </c>
      <c r="I85" s="89">
        <v>-15.554919999999999</v>
      </c>
      <c r="J85" s="89">
        <v>-15.902419999999999</v>
      </c>
      <c r="K85" s="90">
        <v>11.967499999999999</v>
      </c>
      <c r="N85" s="1">
        <f>D!E83</f>
        <v>1.1166358528529043E-3</v>
      </c>
      <c r="O85" s="25">
        <f>N85*Table22[[#This Row],[2020]]</f>
        <v>-2.547255191261958E-2</v>
      </c>
      <c r="P85" s="16">
        <f>N85*Table22[[#This Row],[2019]]</f>
        <v>1.5381725871199929E-2</v>
      </c>
      <c r="Q85" s="15">
        <f>N85*Table22[[#This Row],[2018]]</f>
        <v>-1.7369181360258699E-2</v>
      </c>
      <c r="R85" s="15">
        <f>N85*Table22[[#This Row],[2017]]</f>
        <v>-1.7757212319125082E-2</v>
      </c>
      <c r="S85" s="24">
        <f>N85*Table22[[#This Row],[2016]]</f>
        <v>1.3363339569017132E-2</v>
      </c>
      <c r="V85">
        <f t="shared" si="2"/>
        <v>4.7393364928909956E-3</v>
      </c>
      <c r="W85" s="25">
        <f>V85*Table22[[#This Row],[2020]]</f>
        <v>-0.10811312796208532</v>
      </c>
      <c r="X85" s="16">
        <f>V85*Table22[[#This Row],[2019]]</f>
        <v>6.5284644549763043E-2</v>
      </c>
      <c r="Y85" s="15">
        <f>V85*Table22[[#This Row],[2018]]</f>
        <v>-7.3720000000000008E-2</v>
      </c>
      <c r="Z85" s="15">
        <f>V85*Table22[[#This Row],[2017]]</f>
        <v>-7.5366919431279628E-2</v>
      </c>
      <c r="AA85" s="24">
        <f>V85*Table22[[#This Row],[2016]]</f>
        <v>5.671800947867299E-2</v>
      </c>
    </row>
    <row r="86" spans="1:27" x14ac:dyDescent="0.35">
      <c r="A86" s="83" t="s">
        <v>118</v>
      </c>
      <c r="B86" s="84" t="s">
        <v>622</v>
      </c>
      <c r="C86" s="84" t="str">
        <f>Table22[[#This Row],[Ticker]]&amp; ( "US EQUITY")</f>
        <v>AMATUS EQUITY</v>
      </c>
      <c r="D86" s="85">
        <v>0.62783540408070215</v>
      </c>
      <c r="E86" s="85">
        <v>0.37216459591929785</v>
      </c>
      <c r="F86" s="86">
        <f>_xlfn.XLOOKUP(Table22[[#This Row],[Ticker]],D!B:B,D!D:D,"not found")</f>
        <v>21300000000</v>
      </c>
      <c r="G86" s="87">
        <v>43.277659999999997</v>
      </c>
      <c r="H86" s="88">
        <v>89.877440000000007</v>
      </c>
      <c r="I86" s="89">
        <v>-34.919220000000003</v>
      </c>
      <c r="J86" s="89">
        <v>59.846040000000002</v>
      </c>
      <c r="K86" s="90">
        <v>75.653310000000005</v>
      </c>
      <c r="N86" s="1">
        <f>D!E84</f>
        <v>2.3595579033498875E-3</v>
      </c>
      <c r="O86" s="25">
        <f>N86*Table22[[#This Row],[2020]]</f>
        <v>0.10211614469148929</v>
      </c>
      <c r="P86" s="16">
        <f>N86*Table22[[#This Row],[2019]]</f>
        <v>0.21207102388485533</v>
      </c>
      <c r="Q86" s="15">
        <f>N86*Table22[[#This Row],[2018]]</f>
        <v>-8.2393921529813466E-2</v>
      </c>
      <c r="R86" s="15">
        <f>N86*Table22[[#This Row],[2017]]</f>
        <v>0.1412101966661935</v>
      </c>
      <c r="S86" s="24">
        <f>N86*Table22[[#This Row],[2016]]</f>
        <v>0.17850836552507909</v>
      </c>
      <c r="V86">
        <f t="shared" si="2"/>
        <v>4.7393364928909956E-3</v>
      </c>
      <c r="W86" s="25">
        <f>V86*Table22[[#This Row],[2020]]</f>
        <v>0.20510739336492892</v>
      </c>
      <c r="X86" s="16">
        <f>V86*Table22[[#This Row],[2019]]</f>
        <v>0.42595943127962094</v>
      </c>
      <c r="Y86" s="15">
        <f>V86*Table22[[#This Row],[2018]]</f>
        <v>-0.16549393364928913</v>
      </c>
      <c r="Z86" s="15">
        <f>V86*Table22[[#This Row],[2017]]</f>
        <v>0.28363052132701427</v>
      </c>
      <c r="AA86" s="24">
        <f>V86*Table22[[#This Row],[2016]]</f>
        <v>0.35854649289099533</v>
      </c>
    </row>
    <row r="87" spans="1:27" x14ac:dyDescent="0.35">
      <c r="A87" s="83" t="s">
        <v>234</v>
      </c>
      <c r="B87" s="84" t="s">
        <v>734</v>
      </c>
      <c r="C87" s="84" t="str">
        <f>Table22[[#This Row],[Ticker]]&amp; ( "US EQUITY")</f>
        <v>ESUS EQUITY</v>
      </c>
      <c r="D87" s="85">
        <v>0.59454849012775846</v>
      </c>
      <c r="E87" s="85">
        <v>0.4054515098722416</v>
      </c>
      <c r="F87" s="86">
        <f>_xlfn.XLOOKUP(Table22[[#This Row],[Ticker]],D!B:B,D!D:D,"not found")</f>
        <v>16200000000</v>
      </c>
      <c r="G87" s="87">
        <v>4.4645549999999998</v>
      </c>
      <c r="H87" s="88">
        <v>34.474040000000002</v>
      </c>
      <c r="I87" s="89">
        <v>6.4219119999999998</v>
      </c>
      <c r="J87" s="89">
        <v>17.968440000000001</v>
      </c>
      <c r="K87" s="90">
        <v>11.7563</v>
      </c>
      <c r="N87" s="1">
        <f>D!E85</f>
        <v>1.7945933349421679E-3</v>
      </c>
      <c r="O87" s="25">
        <f>N87*Table22[[#This Row],[2020]]</f>
        <v>8.0120606464827299E-3</v>
      </c>
      <c r="P87" s="16">
        <f>N87*Table22[[#This Row],[2019]]</f>
        <v>6.1866882412529696E-2</v>
      </c>
      <c r="Q87" s="15">
        <f>N87*Table22[[#This Row],[2018]]</f>
        <v>1.1524720472785127E-2</v>
      </c>
      <c r="R87" s="15">
        <f>N87*Table22[[#This Row],[2017]]</f>
        <v>3.2246042663308251E-2</v>
      </c>
      <c r="S87" s="24">
        <f>N87*Table22[[#This Row],[2016]]</f>
        <v>2.1097777623580609E-2</v>
      </c>
      <c r="V87">
        <f t="shared" si="2"/>
        <v>4.7393364928909956E-3</v>
      </c>
      <c r="W87" s="25">
        <f>V87*Table22[[#This Row],[2020]]</f>
        <v>2.1159028436018957E-2</v>
      </c>
      <c r="X87" s="16">
        <f>V87*Table22[[#This Row],[2019]]</f>
        <v>0.16338407582938391</v>
      </c>
      <c r="Y87" s="15">
        <f>V87*Table22[[#This Row],[2018]]</f>
        <v>3.0435601895734597E-2</v>
      </c>
      <c r="Z87" s="15">
        <f>V87*Table22[[#This Row],[2017]]</f>
        <v>8.5158483412322281E-2</v>
      </c>
      <c r="AA87" s="24">
        <f>V87*Table22[[#This Row],[2016]]</f>
        <v>5.5717061611374408E-2</v>
      </c>
    </row>
    <row r="88" spans="1:27" x14ac:dyDescent="0.35">
      <c r="A88" s="83" t="s">
        <v>449</v>
      </c>
      <c r="B88" s="84" t="s">
        <v>940</v>
      </c>
      <c r="C88" s="84" t="str">
        <f>Table22[[#This Row],[Ticker]]&amp; ( "US EQUITY")</f>
        <v>TSLAUS EQUITY</v>
      </c>
      <c r="D88" s="85">
        <v>0.68305887660726372</v>
      </c>
      <c r="E88" s="85">
        <v>0.31694112339273628</v>
      </c>
      <c r="F88" s="86">
        <f>_xlfn.XLOOKUP(Table22[[#This Row],[Ticker]],D!B:B,D!D:D,"not found")</f>
        <v>31540000000</v>
      </c>
      <c r="G88" s="87">
        <v>743.43700000000001</v>
      </c>
      <c r="H88" s="88">
        <v>25.700099999999999</v>
      </c>
      <c r="I88" s="89">
        <v>6.8893550000000001</v>
      </c>
      <c r="J88" s="89">
        <v>45.701709999999999</v>
      </c>
      <c r="K88" s="90">
        <v>-10.96621</v>
      </c>
      <c r="N88" s="1">
        <f>D!E86</f>
        <v>3.4939181348195045E-3</v>
      </c>
      <c r="O88" s="25">
        <f>N88*Table22[[#This Row],[2020]]</f>
        <v>2.5975080163958082</v>
      </c>
      <c r="P88" s="16">
        <f>N88*Table22[[#This Row],[2019]]</f>
        <v>8.9794045456674743E-2</v>
      </c>
      <c r="Q88" s="15">
        <f>N88*Table22[[#This Row],[2018]]</f>
        <v>2.4070842371709429E-2</v>
      </c>
      <c r="R88" s="15">
        <f>N88*Table22[[#This Row],[2017]]</f>
        <v>0.15967803336126188</v>
      </c>
      <c r="S88" s="24">
        <f>N88*Table22[[#This Row],[2016]]</f>
        <v>-3.8315039989238998E-2</v>
      </c>
      <c r="V88">
        <f t="shared" si="2"/>
        <v>4.7393364928909956E-3</v>
      </c>
      <c r="W88" s="25">
        <f>V88*Table22[[#This Row],[2020]]</f>
        <v>3.5233981042654032</v>
      </c>
      <c r="X88" s="16">
        <f>V88*Table22[[#This Row],[2019]]</f>
        <v>0.12180142180094787</v>
      </c>
      <c r="Y88" s="15">
        <f>V88*Table22[[#This Row],[2018]]</f>
        <v>3.2650971563981043E-2</v>
      </c>
      <c r="Z88" s="15">
        <f>V88*Table22[[#This Row],[2017]]</f>
        <v>0.21659578199052135</v>
      </c>
      <c r="AA88" s="24">
        <f>V88*Table22[[#This Row],[2016]]</f>
        <v>-5.1972559241706164E-2</v>
      </c>
    </row>
    <row r="89" spans="1:27" x14ac:dyDescent="0.35">
      <c r="A89" s="83" t="s">
        <v>85</v>
      </c>
      <c r="B89" s="84" t="s">
        <v>589</v>
      </c>
      <c r="C89" s="84" t="str">
        <f>Table22[[#This Row],[Ticker]]&amp; ( "US EQUITY")</f>
        <v>AESUS EQUITY</v>
      </c>
      <c r="D89" s="85">
        <v>0.54673927136004152</v>
      </c>
      <c r="E89" s="85">
        <v>0.45326072863995853</v>
      </c>
      <c r="F89" s="86">
        <f>_xlfn.XLOOKUP(Table22[[#This Row],[Ticker]],D!B:B,D!D:D,"not found")</f>
        <v>6380000000</v>
      </c>
      <c r="G89" s="87">
        <v>22.236740000000001</v>
      </c>
      <c r="H89" s="88">
        <v>42.139609999999998</v>
      </c>
      <c r="I89" s="89">
        <v>38.991039999999998</v>
      </c>
      <c r="J89" s="89">
        <v>-2.693486</v>
      </c>
      <c r="K89" s="90">
        <v>26.33764</v>
      </c>
      <c r="N89" s="1">
        <f>D!E87</f>
        <v>7.0675959734142161E-4</v>
      </c>
      <c r="O89" s="25">
        <f>N89*Table22[[#This Row],[2020]]</f>
        <v>1.5716029408585883E-2</v>
      </c>
      <c r="P89" s="16">
        <f>N89*Table22[[#This Row],[2019]]</f>
        <v>2.9782573795724541E-2</v>
      </c>
      <c r="Q89" s="15">
        <f>N89*Table22[[#This Row],[2018]]</f>
        <v>2.7557291730323261E-2</v>
      </c>
      <c r="R89" s="15">
        <f>N89*Table22[[#This Row],[2017]]</f>
        <v>-1.9036470808047564E-3</v>
      </c>
      <c r="S89" s="24">
        <f>N89*Table22[[#This Row],[2016]]</f>
        <v>1.861437984132332E-2</v>
      </c>
      <c r="V89">
        <f t="shared" si="2"/>
        <v>4.7393364928909956E-3</v>
      </c>
      <c r="W89" s="25">
        <f>V89*Table22[[#This Row],[2020]]</f>
        <v>0.10538739336492892</v>
      </c>
      <c r="X89" s="16">
        <f>V89*Table22[[#This Row],[2019]]</f>
        <v>0.19971379146919432</v>
      </c>
      <c r="Y89" s="15">
        <f>V89*Table22[[#This Row],[2018]]</f>
        <v>0.18479165876777251</v>
      </c>
      <c r="Z89" s="15">
        <f>V89*Table22[[#This Row],[2017]]</f>
        <v>-1.2765336492890996E-2</v>
      </c>
      <c r="AA89" s="24">
        <f>V89*Table22[[#This Row],[2016]]</f>
        <v>0.1248229383886256</v>
      </c>
    </row>
    <row r="90" spans="1:27" x14ac:dyDescent="0.35">
      <c r="A90" s="83" t="s">
        <v>298</v>
      </c>
      <c r="B90" s="84" t="s">
        <v>795</v>
      </c>
      <c r="C90" s="84" t="str">
        <f>Table22[[#This Row],[Ticker]]&amp; ( "US EQUITY")</f>
        <v>IRMUS EQUITY</v>
      </c>
      <c r="D90" s="85">
        <v>0.54475247149010453</v>
      </c>
      <c r="E90" s="85">
        <v>0.45524752850989547</v>
      </c>
      <c r="F90" s="86">
        <f>_xlfn.XLOOKUP(Table22[[#This Row],[Ticker]],D!B:B,D!D:D,"not found")</f>
        <v>5710000000</v>
      </c>
      <c r="G90" s="87">
        <v>0.72149039999999998</v>
      </c>
      <c r="H90" s="88">
        <v>5.9373969999999998</v>
      </c>
      <c r="I90" s="89">
        <v>-8.0157389999999999</v>
      </c>
      <c r="J90" s="89">
        <v>23.507480000000001</v>
      </c>
      <c r="K90" s="90">
        <v>27.449120000000001</v>
      </c>
      <c r="N90" s="1">
        <f>D!E88</f>
        <v>6.3253876188393689E-4</v>
      </c>
      <c r="O90" s="25">
        <f>N90*Table22[[#This Row],[2020]]</f>
        <v>4.5637064432714638E-4</v>
      </c>
      <c r="P90" s="16">
        <f>N90*Table22[[#This Row],[2019]]</f>
        <v>3.7556337471934013E-3</v>
      </c>
      <c r="Q90" s="15">
        <f>N90*Table22[[#This Row],[2018]]</f>
        <v>-5.0702656226447864E-3</v>
      </c>
      <c r="R90" s="15">
        <f>N90*Table22[[#This Row],[2017]]</f>
        <v>1.4869392294211409E-2</v>
      </c>
      <c r="S90" s="24">
        <f>N90*Table22[[#This Row],[2016]]</f>
        <v>1.7362632379603612E-2</v>
      </c>
      <c r="V90">
        <f t="shared" si="2"/>
        <v>4.7393364928909956E-3</v>
      </c>
      <c r="W90" s="25">
        <f>V90*Table22[[#This Row],[2020]]</f>
        <v>3.4193857819905214E-3</v>
      </c>
      <c r="X90" s="16">
        <f>V90*Table22[[#This Row],[2019]]</f>
        <v>2.8139322274881518E-2</v>
      </c>
      <c r="Y90" s="15">
        <f>V90*Table22[[#This Row],[2018]]</f>
        <v>-3.7989284360189578E-2</v>
      </c>
      <c r="Z90" s="15">
        <f>V90*Table22[[#This Row],[2017]]</f>
        <v>0.11140985781990523</v>
      </c>
      <c r="AA90" s="24">
        <f>V90*Table22[[#This Row],[2016]]</f>
        <v>0.13009061611374409</v>
      </c>
    </row>
    <row r="91" spans="1:27" x14ac:dyDescent="0.35">
      <c r="A91" s="83" t="s">
        <v>369</v>
      </c>
      <c r="B91" s="84" t="s">
        <v>865</v>
      </c>
      <c r="C91" s="84" t="str">
        <f>Table22[[#This Row],[Ticker]]&amp; ( "US EQUITY")</f>
        <v>NRGUS EQUITY</v>
      </c>
      <c r="D91" s="85">
        <v>0.653427123300649</v>
      </c>
      <c r="E91" s="85">
        <v>0.34657287669935105</v>
      </c>
      <c r="F91" s="86">
        <f>_xlfn.XLOOKUP(Table22[[#This Row],[Ticker]],D!B:B,D!D:D,"not found")</f>
        <v>3700000000</v>
      </c>
      <c r="G91" s="87">
        <v>-2.1419999999999999</v>
      </c>
      <c r="H91" s="88">
        <v>0.68916080000000002</v>
      </c>
      <c r="I91" s="89">
        <v>39.587670000000003</v>
      </c>
      <c r="J91" s="89">
        <v>133.70140000000001</v>
      </c>
      <c r="K91" s="90">
        <v>6.404293</v>
      </c>
      <c r="N91" s="1">
        <f>D!E89</f>
        <v>4.0987625551148278E-4</v>
      </c>
      <c r="O91" s="25">
        <f>N91*Table22[[#This Row],[2020]]</f>
        <v>-8.779549393055961E-4</v>
      </c>
      <c r="P91" s="16">
        <f>N91*Table22[[#This Row],[2019]]</f>
        <v>2.824706481492979E-4</v>
      </c>
      <c r="Q91" s="15">
        <f>N91*Table22[[#This Row],[2018]]</f>
        <v>1.6226045944024263E-2</v>
      </c>
      <c r="R91" s="15">
        <f>N91*Table22[[#This Row],[2017]]</f>
        <v>5.480102918864297E-2</v>
      </c>
      <c r="S91" s="24">
        <f>N91*Table22[[#This Row],[2016]]</f>
        <v>2.6249676340384005E-3</v>
      </c>
      <c r="V91">
        <f t="shared" si="2"/>
        <v>4.7393364928909956E-3</v>
      </c>
      <c r="W91" s="25">
        <f>V91*Table22[[#This Row],[2020]]</f>
        <v>-1.0151658767772511E-2</v>
      </c>
      <c r="X91" s="16">
        <f>V91*Table22[[#This Row],[2019]]</f>
        <v>3.2661649289099531E-3</v>
      </c>
      <c r="Y91" s="15">
        <f>V91*Table22[[#This Row],[2018]]</f>
        <v>0.1876192890995261</v>
      </c>
      <c r="Z91" s="15">
        <f>V91*Table22[[#This Row],[2017]]</f>
        <v>0.63365592417061622</v>
      </c>
      <c r="AA91" s="24">
        <f>V91*Table22[[#This Row],[2016]]</f>
        <v>3.0352099526066354E-2</v>
      </c>
    </row>
    <row r="92" spans="1:27" x14ac:dyDescent="0.35">
      <c r="A92" s="83" t="s">
        <v>361</v>
      </c>
      <c r="B92" s="84" t="s">
        <v>857</v>
      </c>
      <c r="C92" s="84" t="str">
        <f>Table22[[#This Row],[Ticker]]&amp; ( "US EQUITY")</f>
        <v>NLSNUS EQUITY</v>
      </c>
      <c r="D92" s="85">
        <v>0.85650406504065035</v>
      </c>
      <c r="E92" s="85">
        <v>0.14349593495934959</v>
      </c>
      <c r="F92" s="86">
        <f>_xlfn.XLOOKUP(Table22[[#This Row],[Ticker]],D!B:B,D!D:D,"not found")</f>
        <v>16879999999.999998</v>
      </c>
      <c r="G92" s="87">
        <v>4.3180699999999996</v>
      </c>
      <c r="H92" s="88">
        <v>-8.6790500000000002</v>
      </c>
      <c r="I92" s="89">
        <v>-32.68439</v>
      </c>
      <c r="J92" s="89">
        <v>-10.253550000000001</v>
      </c>
      <c r="K92" s="90">
        <v>-7.7553869999999998</v>
      </c>
      <c r="N92" s="1">
        <f>D!E90</f>
        <v>1.8699219440631968E-3</v>
      </c>
      <c r="O92" s="25">
        <f>N92*Table22[[#This Row],[2020]]</f>
        <v>8.0744538490009673E-3</v>
      </c>
      <c r="P92" s="16">
        <f>N92*Table22[[#This Row],[2019]]</f>
        <v>-1.622914604862169E-2</v>
      </c>
      <c r="Q92" s="15">
        <f>N92*Table22[[#This Row],[2018]]</f>
        <v>-6.1117258089319712E-2</v>
      </c>
      <c r="R92" s="15">
        <f>N92*Table22[[#This Row],[2017]]</f>
        <v>-1.9173338149549194E-2</v>
      </c>
      <c r="S92" s="24">
        <f>N92*Table22[[#This Row],[2016]]</f>
        <v>-1.4501968336002443E-2</v>
      </c>
      <c r="V92">
        <f t="shared" si="2"/>
        <v>4.7393364928909956E-3</v>
      </c>
      <c r="W92" s="25">
        <f>V92*Table22[[#This Row],[2020]]</f>
        <v>2.0464786729857819E-2</v>
      </c>
      <c r="X92" s="16">
        <f>V92*Table22[[#This Row],[2019]]</f>
        <v>-4.1132938388625598E-2</v>
      </c>
      <c r="Y92" s="15">
        <f>V92*Table22[[#This Row],[2018]]</f>
        <v>-0.15490232227488154</v>
      </c>
      <c r="Z92" s="15">
        <f>V92*Table22[[#This Row],[2017]]</f>
        <v>-4.859502369668247E-2</v>
      </c>
      <c r="AA92" s="24">
        <f>V92*Table22[[#This Row],[2016]]</f>
        <v>-3.6755388625592418E-2</v>
      </c>
    </row>
    <row r="93" spans="1:27" x14ac:dyDescent="0.35">
      <c r="A93" s="83" t="s">
        <v>198</v>
      </c>
      <c r="B93" s="84" t="s">
        <v>700</v>
      </c>
      <c r="C93" s="84" t="str">
        <f>Table22[[#This Row],[Ticker]]&amp; ( "US EQUITY")</f>
        <v>DRIUS EQUITY</v>
      </c>
      <c r="D93" s="85">
        <v>0.52800257457240785</v>
      </c>
      <c r="E93" s="85">
        <v>0.47199742542759221</v>
      </c>
      <c r="F93" s="86">
        <f>_xlfn.XLOOKUP(Table22[[#This Row],[Ticker]],D!B:B,D!D:D,"not found")</f>
        <v>8160000000</v>
      </c>
      <c r="G93" s="87">
        <v>10.43458</v>
      </c>
      <c r="H93" s="88">
        <v>12.31439</v>
      </c>
      <c r="I93" s="89">
        <v>6.8819879999999998</v>
      </c>
      <c r="J93" s="89">
        <v>35.960520000000002</v>
      </c>
      <c r="K93" s="90">
        <v>18.17867</v>
      </c>
      <c r="N93" s="1">
        <f>D!E91</f>
        <v>9.0394330945235116E-4</v>
      </c>
      <c r="O93" s="25">
        <f>N93*Table22[[#This Row],[2020]]</f>
        <v>9.4322687779453147E-3</v>
      </c>
      <c r="P93" s="16">
        <f>N93*Table22[[#This Row],[2019]]</f>
        <v>1.1131510450486938E-2</v>
      </c>
      <c r="Q93" s="15">
        <f>N93*Table22[[#This Row],[2018]]</f>
        <v>6.2209270083313671E-3</v>
      </c>
      <c r="R93" s="15">
        <f>N93*Table22[[#This Row],[2017]]</f>
        <v>3.2506271458427466E-2</v>
      </c>
      <c r="S93" s="24">
        <f>N93*Table22[[#This Row],[2016]]</f>
        <v>1.6432487121242172E-2</v>
      </c>
      <c r="V93">
        <f t="shared" si="2"/>
        <v>4.7393364928909956E-3</v>
      </c>
      <c r="W93" s="25">
        <f>V93*Table22[[#This Row],[2020]]</f>
        <v>4.9452985781990526E-2</v>
      </c>
      <c r="X93" s="16">
        <f>V93*Table22[[#This Row],[2019]]</f>
        <v>5.8362037914691946E-2</v>
      </c>
      <c r="Y93" s="15">
        <f>V93*Table22[[#This Row],[2018]]</f>
        <v>3.2616056872037918E-2</v>
      </c>
      <c r="Z93" s="15">
        <f>V93*Table22[[#This Row],[2017]]</f>
        <v>0.17042900473933653</v>
      </c>
      <c r="AA93" s="24">
        <f>V93*Table22[[#This Row],[2016]]</f>
        <v>8.6154834123222751E-2</v>
      </c>
    </row>
    <row r="94" spans="1:27" x14ac:dyDescent="0.35">
      <c r="A94" s="83" t="s">
        <v>324</v>
      </c>
      <c r="B94" s="84" t="s">
        <v>821</v>
      </c>
      <c r="C94" s="84" t="str">
        <f>Table22[[#This Row],[Ticker]]&amp; ( "US EQUITY")</f>
        <v>LINUS EQUITY</v>
      </c>
      <c r="D94" s="85">
        <v>0.53285703337222079</v>
      </c>
      <c r="E94" s="85">
        <v>0.46714296662777927</v>
      </c>
      <c r="F94" s="86">
        <f>_xlfn.XLOOKUP(Table22[[#This Row],[Ticker]],D!B:B,D!D:D,"not found")</f>
        <v>29170000000</v>
      </c>
      <c r="G94" s="87">
        <v>25.902570000000001</v>
      </c>
      <c r="H94" s="88">
        <v>39.059109999999997</v>
      </c>
      <c r="I94" s="89">
        <v>2.9858709999999999</v>
      </c>
      <c r="J94" s="89">
        <v>35.158949999999997</v>
      </c>
      <c r="K94" s="90">
        <v>17.48199</v>
      </c>
      <c r="N94" s="1">
        <f>D!E92</f>
        <v>3.2313757765594464E-3</v>
      </c>
      <c r="O94" s="25">
        <f>N94*Table22[[#This Row],[2020]]</f>
        <v>8.3700937248635421E-2</v>
      </c>
      <c r="P94" s="16">
        <f>N94*Table22[[#This Row],[2019]]</f>
        <v>0.12621466190797082</v>
      </c>
      <c r="Q94" s="15">
        <f>N94*Table22[[#This Row],[2018]]</f>
        <v>9.6484712213313305E-3</v>
      </c>
      <c r="R94" s="15">
        <f>N94*Table22[[#This Row],[2017]]</f>
        <v>0.11361177935926474</v>
      </c>
      <c r="S94" s="24">
        <f>N94*Table22[[#This Row],[2016]]</f>
        <v>5.6490879012054476E-2</v>
      </c>
      <c r="V94">
        <f t="shared" si="2"/>
        <v>4.7393364928909956E-3</v>
      </c>
      <c r="W94" s="25">
        <f>V94*Table22[[#This Row],[2020]]</f>
        <v>0.12276099526066352</v>
      </c>
      <c r="X94" s="16">
        <f>V94*Table22[[#This Row],[2019]]</f>
        <v>0.18511426540284359</v>
      </c>
      <c r="Y94" s="15">
        <f>V94*Table22[[#This Row],[2018]]</f>
        <v>1.4151047393364929E-2</v>
      </c>
      <c r="Z94" s="15">
        <f>V94*Table22[[#This Row],[2017]]</f>
        <v>0.16663009478672985</v>
      </c>
      <c r="AA94" s="24">
        <f>V94*Table22[[#This Row],[2016]]</f>
        <v>8.2853033175355459E-2</v>
      </c>
    </row>
    <row r="95" spans="1:27" x14ac:dyDescent="0.35">
      <c r="A95" s="83" t="s">
        <v>175</v>
      </c>
      <c r="B95" s="84" t="s">
        <v>679</v>
      </c>
      <c r="C95" s="84" t="str">
        <f>Table22[[#This Row],[Ticker]]&amp; ( "US EQUITY")</f>
        <v>CLXUS EQUITY</v>
      </c>
      <c r="D95" s="85">
        <v>0.67462868543560184</v>
      </c>
      <c r="E95" s="85">
        <v>0.32537131456439816</v>
      </c>
      <c r="F95" s="86">
        <f>_xlfn.XLOOKUP(Table22[[#This Row],[Ticker]],D!B:B,D!D:D,"not found")</f>
        <v>16410000000</v>
      </c>
      <c r="G95" s="87">
        <v>34.484839999999998</v>
      </c>
      <c r="H95" s="88">
        <v>2.2374149999999999</v>
      </c>
      <c r="I95" s="89">
        <v>6.518948</v>
      </c>
      <c r="J95" s="89">
        <v>27.12331</v>
      </c>
      <c r="K95" s="90">
        <v>-2.9875639999999999</v>
      </c>
      <c r="N95" s="1">
        <f>D!E93</f>
        <v>1.8178565818766034E-3</v>
      </c>
      <c r="O95" s="25">
        <f>N95*Table22[[#This Row],[2020]]</f>
        <v>6.2688493368961568E-2</v>
      </c>
      <c r="P95" s="16">
        <f>N95*Table22[[#This Row],[2019]]</f>
        <v>4.0672995841394407E-3</v>
      </c>
      <c r="Q95" s="15">
        <f>N95*Table22[[#This Row],[2018]]</f>
        <v>1.185051252871132E-2</v>
      </c>
      <c r="R95" s="15">
        <f>N95*Table22[[#This Row],[2017]]</f>
        <v>4.9306287605779493E-2</v>
      </c>
      <c r="S95" s="24">
        <f>N95*Table22[[#This Row],[2016]]</f>
        <v>-5.4309628811775928E-3</v>
      </c>
      <c r="V95">
        <f t="shared" si="2"/>
        <v>4.7393364928909956E-3</v>
      </c>
      <c r="W95" s="25">
        <f>V95*Table22[[#This Row],[2020]]</f>
        <v>0.16343526066350711</v>
      </c>
      <c r="X95" s="16">
        <f>V95*Table22[[#This Row],[2019]]</f>
        <v>1.0603862559241707E-2</v>
      </c>
      <c r="Y95" s="15">
        <f>V95*Table22[[#This Row],[2018]]</f>
        <v>3.0895488151658771E-2</v>
      </c>
      <c r="Z95" s="15">
        <f>V95*Table22[[#This Row],[2017]]</f>
        <v>0.12854649289099526</v>
      </c>
      <c r="AA95" s="24">
        <f>V95*Table22[[#This Row],[2016]]</f>
        <v>-1.4159071090047394E-2</v>
      </c>
    </row>
    <row r="96" spans="1:27" x14ac:dyDescent="0.35">
      <c r="A96" s="83" t="s">
        <v>308</v>
      </c>
      <c r="B96" s="84" t="s">
        <v>805</v>
      </c>
      <c r="C96" s="84" t="str">
        <f>Table22[[#This Row],[Ticker]]&amp; ( "US EQUITY")</f>
        <v>KUS EQUITY</v>
      </c>
      <c r="D96" s="85">
        <v>0.50271216529414664</v>
      </c>
      <c r="E96" s="85">
        <v>0.49728783470585336</v>
      </c>
      <c r="F96" s="86">
        <f>_xlfn.XLOOKUP(Table22[[#This Row],[Ticker]],D!B:B,D!D:D,"not found")</f>
        <v>25610000000</v>
      </c>
      <c r="G96" s="87">
        <v>-6.8559650000000003</v>
      </c>
      <c r="H96" s="88">
        <v>26.080079999999999</v>
      </c>
      <c r="I96" s="89">
        <v>-13.338329999999999</v>
      </c>
      <c r="J96" s="89">
        <v>-4.9162030000000003</v>
      </c>
      <c r="K96" s="90">
        <v>4.7682399999999996</v>
      </c>
      <c r="N96" s="1">
        <f>D!E94</f>
        <v>2.8370083523375873E-3</v>
      </c>
      <c r="O96" s="25">
        <f>N96*Table22[[#This Row],[2020]]</f>
        <v>-1.9450429968334168E-2</v>
      </c>
      <c r="P96" s="16">
        <f>N96*Table22[[#This Row],[2019]]</f>
        <v>7.3989404789632465E-2</v>
      </c>
      <c r="Q96" s="15">
        <f>N96*Table22[[#This Row],[2018]]</f>
        <v>-3.7840953616235011E-2</v>
      </c>
      <c r="R96" s="15">
        <f>N96*Table22[[#This Row],[2017]]</f>
        <v>-1.3947308972787105E-2</v>
      </c>
      <c r="S96" s="24">
        <f>N96*Table22[[#This Row],[2016]]</f>
        <v>1.3527536705950177E-2</v>
      </c>
      <c r="V96">
        <f t="shared" si="2"/>
        <v>4.7393364928909956E-3</v>
      </c>
      <c r="W96" s="25">
        <f>V96*Table22[[#This Row],[2020]]</f>
        <v>-3.2492725118483418E-2</v>
      </c>
      <c r="X96" s="16">
        <f>V96*Table22[[#This Row],[2019]]</f>
        <v>0.12360227488151659</v>
      </c>
      <c r="Y96" s="15">
        <f>V96*Table22[[#This Row],[2018]]</f>
        <v>-6.3214834123222749E-2</v>
      </c>
      <c r="Z96" s="15">
        <f>V96*Table22[[#This Row],[2017]]</f>
        <v>-2.3299540284360192E-2</v>
      </c>
      <c r="AA96" s="24">
        <f>V96*Table22[[#This Row],[2016]]</f>
        <v>2.2598293838862558E-2</v>
      </c>
    </row>
    <row r="97" spans="1:27" x14ac:dyDescent="0.35">
      <c r="A97" s="83" t="s">
        <v>386</v>
      </c>
      <c r="B97" s="84" t="s">
        <v>882</v>
      </c>
      <c r="C97" s="84" t="str">
        <f>Table22[[#This Row],[Ticker]]&amp; ( "US EQUITY")</f>
        <v>PBCTUS EQUITY</v>
      </c>
      <c r="D97" s="85">
        <v>0.68755981902027319</v>
      </c>
      <c r="E97" s="85">
        <v>0.31244018097972681</v>
      </c>
      <c r="F97" s="86">
        <f>_xlfn.XLOOKUP(Table22[[#This Row],[Ticker]],D!B:B,D!D:D,"not found")</f>
        <v>4890000000</v>
      </c>
      <c r="G97" s="87">
        <v>-18.87369</v>
      </c>
      <c r="H97" s="88">
        <v>22.169540000000001</v>
      </c>
      <c r="I97" s="89">
        <v>-19.771650000000001</v>
      </c>
      <c r="J97" s="89">
        <v>0.31008720000000001</v>
      </c>
      <c r="K97" s="90">
        <v>25.28839</v>
      </c>
      <c r="N97" s="1">
        <f>D!E95</f>
        <v>5.4170132147328398E-4</v>
      </c>
      <c r="O97" s="25">
        <f>N97*Table22[[#This Row],[2020]]</f>
        <v>-1.0223902814077104E-2</v>
      </c>
      <c r="P97" s="16">
        <f>N97*Table22[[#This Row],[2019]]</f>
        <v>1.2009269114454829E-2</v>
      </c>
      <c r="Q97" s="15">
        <f>N97*Table22[[#This Row],[2018]]</f>
        <v>-1.0710328932707255E-2</v>
      </c>
      <c r="R97" s="15">
        <f>N97*Table22[[#This Row],[2017]]</f>
        <v>1.6797464601195052E-4</v>
      </c>
      <c r="S97" s="24">
        <f>N97*Table22[[#This Row],[2016]]</f>
        <v>1.369875428093178E-2</v>
      </c>
      <c r="V97">
        <f t="shared" si="2"/>
        <v>4.7393364928909956E-3</v>
      </c>
      <c r="W97" s="25">
        <f>V97*Table22[[#This Row],[2020]]</f>
        <v>-8.9448767772511859E-2</v>
      </c>
      <c r="X97" s="16">
        <f>V97*Table22[[#This Row],[2019]]</f>
        <v>0.10506890995260665</v>
      </c>
      <c r="Y97" s="15">
        <f>V97*Table22[[#This Row],[2018]]</f>
        <v>-9.3704502369668263E-2</v>
      </c>
      <c r="Z97" s="15">
        <f>V97*Table22[[#This Row],[2017]]</f>
        <v>1.4696075829383887E-3</v>
      </c>
      <c r="AA97" s="24">
        <f>V97*Table22[[#This Row],[2016]]</f>
        <v>0.11985018957345972</v>
      </c>
    </row>
    <row r="98" spans="1:27" x14ac:dyDescent="0.35">
      <c r="A98" s="83" t="s">
        <v>179</v>
      </c>
      <c r="B98" s="84" t="s">
        <v>683</v>
      </c>
      <c r="C98" s="84" t="str">
        <f>Table22[[#This Row],[Ticker]]&amp; ( "US EQUITY")</f>
        <v>CTSHUS EQUITY</v>
      </c>
      <c r="D98" s="85">
        <v>0.60956417464727319</v>
      </c>
      <c r="E98" s="85">
        <v>0.39043582535272686</v>
      </c>
      <c r="F98" s="86">
        <f>_xlfn.XLOOKUP(Table22[[#This Row],[Ticker]],D!B:B,D!D:D,"not found")</f>
        <v>36550000000</v>
      </c>
      <c r="G98" s="87">
        <v>33.961300000000001</v>
      </c>
      <c r="H98" s="88">
        <v>-1.080948</v>
      </c>
      <c r="I98" s="89">
        <v>-9.6614120000000003</v>
      </c>
      <c r="J98" s="89">
        <v>27.57987</v>
      </c>
      <c r="K98" s="90">
        <v>-6.6477830000000004</v>
      </c>
      <c r="N98" s="1">
        <f>D!E96</f>
        <v>4.0489127402553232E-3</v>
      </c>
      <c r="O98" s="25">
        <f>N98*Table22[[#This Row],[2020]]</f>
        <v>0.1375063402456331</v>
      </c>
      <c r="P98" s="16">
        <f>N98*Table22[[#This Row],[2019]]</f>
        <v>-4.3766641287535111E-3</v>
      </c>
      <c r="Q98" s="15">
        <f>N98*Table22[[#This Row],[2018]]</f>
        <v>-3.9118214135655666E-2</v>
      </c>
      <c r="R98" s="15">
        <f>N98*Table22[[#This Row],[2017]]</f>
        <v>0.11166848701758558</v>
      </c>
      <c r="S98" s="24">
        <f>N98*Table22[[#This Row],[2016]]</f>
        <v>-2.6916293283152756E-2</v>
      </c>
      <c r="V98">
        <f t="shared" si="2"/>
        <v>4.7393364928909956E-3</v>
      </c>
      <c r="W98" s="25">
        <f>V98*Table22[[#This Row],[2020]]</f>
        <v>0.16095402843601897</v>
      </c>
      <c r="X98" s="16">
        <f>V98*Table22[[#This Row],[2019]]</f>
        <v>-5.1229763033175365E-3</v>
      </c>
      <c r="Y98" s="15">
        <f>V98*Table22[[#This Row],[2018]]</f>
        <v>-4.5788682464454979E-2</v>
      </c>
      <c r="Z98" s="15">
        <f>V98*Table22[[#This Row],[2017]]</f>
        <v>0.13071028436018958</v>
      </c>
      <c r="AA98" s="24">
        <f>V98*Table22[[#This Row],[2016]]</f>
        <v>-3.1506080568720382E-2</v>
      </c>
    </row>
    <row r="99" spans="1:27" x14ac:dyDescent="0.35">
      <c r="A99" s="83" t="s">
        <v>236</v>
      </c>
      <c r="B99" s="84" t="s">
        <v>736</v>
      </c>
      <c r="C99" s="84" t="str">
        <f>Table22[[#This Row],[Ticker]]&amp; ( "US EQUITY")</f>
        <v>EXPEUS EQUITY</v>
      </c>
      <c r="D99" s="85">
        <v>0.74577934998894535</v>
      </c>
      <c r="E99" s="85">
        <v>0.25422065001105459</v>
      </c>
      <c r="F99" s="86">
        <f>_xlfn.XLOOKUP(Table22[[#This Row],[Ticker]],D!B:B,D!D:D,"not found")</f>
        <v>18680000000</v>
      </c>
      <c r="G99" s="87">
        <v>22.916260000000001</v>
      </c>
      <c r="H99" s="88">
        <v>-2.8980260000000002</v>
      </c>
      <c r="I99" s="89">
        <v>-4.9622590000000004</v>
      </c>
      <c r="J99" s="89">
        <v>6.6583509999999997</v>
      </c>
      <c r="K99" s="90">
        <v>-8.060765</v>
      </c>
      <c r="N99" s="1">
        <f>D!E97</f>
        <v>2.0693212035012157E-3</v>
      </c>
      <c r="O99" s="25">
        <f>N99*Table22[[#This Row],[2020]]</f>
        <v>4.7421102722946772E-2</v>
      </c>
      <c r="P99" s="16">
        <f>N99*Table22[[#This Row],[2019]]</f>
        <v>-5.9969466500978145E-3</v>
      </c>
      <c r="Q99" s="15">
        <f>N99*Table22[[#This Row],[2018]]</f>
        <v>-1.0268507765964739E-2</v>
      </c>
      <c r="R99" s="15">
        <f>N99*Table22[[#This Row],[2017]]</f>
        <v>1.3778266904653523E-2</v>
      </c>
      <c r="S99" s="24">
        <f>N99*Table22[[#This Row],[2016]]</f>
        <v>-1.6680311930940477E-2</v>
      </c>
      <c r="V99">
        <f t="shared" si="2"/>
        <v>4.7393364928909956E-3</v>
      </c>
      <c r="W99" s="25">
        <f>V99*Table22[[#This Row],[2020]]</f>
        <v>0.10860786729857821</v>
      </c>
      <c r="X99" s="16">
        <f>V99*Table22[[#This Row],[2019]]</f>
        <v>-1.3734720379146921E-2</v>
      </c>
      <c r="Y99" s="15">
        <f>V99*Table22[[#This Row],[2018]]</f>
        <v>-2.3517815165876782E-2</v>
      </c>
      <c r="Z99" s="15">
        <f>V99*Table22[[#This Row],[2017]]</f>
        <v>3.1556165876777252E-2</v>
      </c>
      <c r="AA99" s="24">
        <f>V99*Table22[[#This Row],[2016]]</f>
        <v>-3.8202677725118483E-2</v>
      </c>
    </row>
    <row r="100" spans="1:27" x14ac:dyDescent="0.35">
      <c r="A100" s="83" t="s">
        <v>187</v>
      </c>
      <c r="B100" s="84" t="s">
        <v>689</v>
      </c>
      <c r="C100" s="84" t="str">
        <f>Table22[[#This Row],[Ticker]]&amp; ( "US EQUITY")</f>
        <v>EDUS EQUITY</v>
      </c>
      <c r="D100" s="85">
        <v>0.81820494879460592</v>
      </c>
      <c r="E100" s="85">
        <v>0.18179505120539405</v>
      </c>
      <c r="F100" s="86">
        <f>_xlfn.XLOOKUP(Table22[[#This Row],[Ticker]],D!B:B,D!D:D,"not found")</f>
        <v>18830000000</v>
      </c>
      <c r="G100" s="87">
        <v>-16.966200000000001</v>
      </c>
      <c r="H100" s="88">
        <v>22.54691</v>
      </c>
      <c r="I100" s="89">
        <v>-6.6199839999999996</v>
      </c>
      <c r="J100" s="89">
        <v>19.273530000000001</v>
      </c>
      <c r="K100" s="90">
        <v>18.93618</v>
      </c>
      <c r="N100" s="1">
        <f>D!E98</f>
        <v>2.0859378084543841E-3</v>
      </c>
      <c r="O100" s="25">
        <f>N100*Table22[[#This Row],[2020]]</f>
        <v>-3.5390438045798771E-2</v>
      </c>
      <c r="P100" s="16">
        <f>N100*Table22[[#This Row],[2019]]</f>
        <v>4.7031452032818236E-2</v>
      </c>
      <c r="Q100" s="15">
        <f>N100*Table22[[#This Row],[2018]]</f>
        <v>-1.3808874916963088E-2</v>
      </c>
      <c r="R100" s="15">
        <f>N100*Table22[[#This Row],[2017]]</f>
        <v>4.0203384929379825E-2</v>
      </c>
      <c r="S100" s="24">
        <f>N100*Table22[[#This Row],[2016]]</f>
        <v>3.9499693809697742E-2</v>
      </c>
      <c r="V100">
        <f t="shared" si="2"/>
        <v>4.7393364928909956E-3</v>
      </c>
      <c r="W100" s="25">
        <f>V100*Table22[[#This Row],[2020]]</f>
        <v>-8.0408530805687217E-2</v>
      </c>
      <c r="X100" s="16">
        <f>V100*Table22[[#This Row],[2019]]</f>
        <v>0.10685739336492892</v>
      </c>
      <c r="Y100" s="15">
        <f>V100*Table22[[#This Row],[2018]]</f>
        <v>-3.1374331753554502E-2</v>
      </c>
      <c r="Z100" s="15">
        <f>V100*Table22[[#This Row],[2017]]</f>
        <v>9.1343744075829389E-2</v>
      </c>
      <c r="AA100" s="24">
        <f>V100*Table22[[#This Row],[2016]]</f>
        <v>8.9744928909952615E-2</v>
      </c>
    </row>
    <row r="101" spans="1:27" x14ac:dyDescent="0.35">
      <c r="A101" s="83" t="s">
        <v>350</v>
      </c>
      <c r="B101" s="84" t="s">
        <v>847</v>
      </c>
      <c r="C101" s="84" t="str">
        <f>Table22[[#This Row],[Ticker]]&amp; ( "US EQUITY")</f>
        <v>MDLZUS EQUITY</v>
      </c>
      <c r="D101" s="85">
        <v>0.50902517162471395</v>
      </c>
      <c r="E101" s="85">
        <v>0.49097482837528605</v>
      </c>
      <c r="F101" s="86">
        <f>_xlfn.XLOOKUP(Table22[[#This Row],[Ticker]],D!B:B,D!D:D,"not found")</f>
        <v>70850000000</v>
      </c>
      <c r="G101" s="87">
        <v>8.5328339999999994</v>
      </c>
      <c r="H101" s="88">
        <v>40.425289999999997</v>
      </c>
      <c r="I101" s="89">
        <v>-4.2685930000000001</v>
      </c>
      <c r="J101" s="89">
        <v>-1.584727</v>
      </c>
      <c r="K101" s="90">
        <v>0.54683689999999996</v>
      </c>
      <c r="N101" s="1">
        <f>D!E99</f>
        <v>7.8485764062131234E-3</v>
      </c>
      <c r="O101" s="25">
        <f>N101*Table22[[#This Row],[2020]]</f>
        <v>6.6970599610533144E-2</v>
      </c>
      <c r="P101" s="16">
        <f>N101*Table22[[#This Row],[2019]]</f>
        <v>0.31728097730832328</v>
      </c>
      <c r="Q101" s="15">
        <f>N101*Table22[[#This Row],[2018]]</f>
        <v>-3.3502378307526497E-2</v>
      </c>
      <c r="R101" s="15">
        <f>N101*Table22[[#This Row],[2017]]</f>
        <v>-1.2437850942488905E-2</v>
      </c>
      <c r="S101" s="24">
        <f>N101*Table22[[#This Row],[2016]]</f>
        <v>4.291891191386725E-3</v>
      </c>
      <c r="V101">
        <f t="shared" si="2"/>
        <v>4.7393364928909956E-3</v>
      </c>
      <c r="W101" s="25">
        <f>V101*Table22[[#This Row],[2020]]</f>
        <v>4.0439971563981041E-2</v>
      </c>
      <c r="X101" s="16">
        <f>V101*Table22[[#This Row],[2019]]</f>
        <v>0.19158905213270142</v>
      </c>
      <c r="Y101" s="15">
        <f>V101*Table22[[#This Row],[2018]]</f>
        <v>-2.0230298578199055E-2</v>
      </c>
      <c r="Z101" s="15">
        <f>V101*Table22[[#This Row],[2017]]</f>
        <v>-7.5105545023696684E-3</v>
      </c>
      <c r="AA101" s="24">
        <f>V101*Table22[[#This Row],[2016]]</f>
        <v>2.5916440758293837E-3</v>
      </c>
    </row>
    <row r="102" spans="1:27" x14ac:dyDescent="0.35">
      <c r="A102" s="83" t="s">
        <v>34</v>
      </c>
      <c r="B102" s="84" t="s">
        <v>544</v>
      </c>
      <c r="C102" s="84" t="str">
        <f>Table22[[#This Row],[Ticker]]&amp; ( "US EQUITY")</f>
        <v>FISVUS EQUITY</v>
      </c>
      <c r="D102" s="85">
        <v>0.59591506869443833</v>
      </c>
      <c r="E102" s="85">
        <v>0.40408493130556167</v>
      </c>
      <c r="F102" s="86">
        <f>_xlfn.XLOOKUP(Table22[[#This Row],[Ticker]],D!B:B,D!D:D,"not found")</f>
        <v>20610000000</v>
      </c>
      <c r="G102" s="87">
        <v>-1.530743</v>
      </c>
      <c r="H102" s="88">
        <v>57.34113</v>
      </c>
      <c r="I102" s="89">
        <v>12.08723</v>
      </c>
      <c r="J102" s="89">
        <v>23.38165</v>
      </c>
      <c r="K102" s="90">
        <v>16.203779999999998</v>
      </c>
      <c r="N102" s="1">
        <f>D!E100</f>
        <v>2.2831215205653134E-3</v>
      </c>
      <c r="O102" s="25">
        <f>N102*Table22[[#This Row],[2020]]</f>
        <v>-3.4948722857547094E-3</v>
      </c>
      <c r="P102" s="16">
        <f>N102*Table22[[#This Row],[2019]]</f>
        <v>0.13091676791653331</v>
      </c>
      <c r="Q102" s="15">
        <f>N102*Table22[[#This Row],[2018]]</f>
        <v>2.7596614937022673E-2</v>
      </c>
      <c r="R102" s="15">
        <f>N102*Table22[[#This Row],[2017]]</f>
        <v>5.3383148301325963E-2</v>
      </c>
      <c r="S102" s="24">
        <f>N102*Table22[[#This Row],[2016]]</f>
        <v>3.6995198832505814E-2</v>
      </c>
      <c r="V102">
        <f t="shared" si="2"/>
        <v>4.7393364928909956E-3</v>
      </c>
      <c r="W102" s="25">
        <f>V102*Table22[[#This Row],[2020]]</f>
        <v>-7.2547061611374407E-3</v>
      </c>
      <c r="X102" s="16">
        <f>V102*Table22[[#This Row],[2019]]</f>
        <v>0.27175890995260665</v>
      </c>
      <c r="Y102" s="15">
        <f>V102*Table22[[#This Row],[2018]]</f>
        <v>5.728545023696683E-2</v>
      </c>
      <c r="Z102" s="15">
        <f>V102*Table22[[#This Row],[2017]]</f>
        <v>0.11081350710900476</v>
      </c>
      <c r="AA102" s="24">
        <f>V102*Table22[[#This Row],[2016]]</f>
        <v>7.6795165876777247E-2</v>
      </c>
    </row>
    <row r="103" spans="1:27" x14ac:dyDescent="0.35">
      <c r="A103" s="83" t="s">
        <v>84</v>
      </c>
      <c r="B103" s="84" t="s">
        <v>588</v>
      </c>
      <c r="C103" s="84" t="str">
        <f>Table22[[#This Row],[Ticker]]&amp; ( "US EQUITY")</f>
        <v>AMDUS EQUITY</v>
      </c>
      <c r="D103" s="85">
        <v>0.79939432871432503</v>
      </c>
      <c r="E103" s="85">
        <v>0.20060567128567497</v>
      </c>
      <c r="F103" s="86">
        <f>_xlfn.XLOOKUP(Table22[[#This Row],[Ticker]],D!B:B,D!D:D,"not found")</f>
        <v>2270000000</v>
      </c>
      <c r="G103" s="87">
        <v>99.978210000000004</v>
      </c>
      <c r="H103" s="88">
        <v>148.42910000000001</v>
      </c>
      <c r="I103" s="89">
        <v>79.572010000000006</v>
      </c>
      <c r="J103" s="89">
        <v>-9.3474450000000004</v>
      </c>
      <c r="K103" s="90">
        <v>295.12189999999998</v>
      </c>
      <c r="N103" s="1">
        <f>D!E101</f>
        <v>2.5146462162461242E-4</v>
      </c>
      <c r="O103" s="25">
        <f>N103*Table22[[#This Row],[2020]]</f>
        <v>2.5140982748356043E-2</v>
      </c>
      <c r="P103" s="16">
        <f>N103*Table22[[#This Row],[2019]]</f>
        <v>3.7324667469581761E-2</v>
      </c>
      <c r="Q103" s="15">
        <f>N103*Table22[[#This Row],[2018]]</f>
        <v>2.0009545386559878E-2</v>
      </c>
      <c r="R103" s="15">
        <f>N103*Table22[[#This Row],[2017]]</f>
        <v>-2.3505517200818754E-3</v>
      </c>
      <c r="S103" s="24">
        <f>N103*Table22[[#This Row],[2016]]</f>
        <v>7.4212716916636695E-2</v>
      </c>
      <c r="V103">
        <f t="shared" si="2"/>
        <v>4.7393364928909956E-3</v>
      </c>
      <c r="W103" s="25">
        <f>V103*Table22[[#This Row],[2020]]</f>
        <v>0.4738303791469195</v>
      </c>
      <c r="X103" s="16">
        <f>V103*Table22[[#This Row],[2019]]</f>
        <v>0.70345545023696687</v>
      </c>
      <c r="Y103" s="15">
        <f>V103*Table22[[#This Row],[2018]]</f>
        <v>0.37711853080568725</v>
      </c>
      <c r="Z103" s="15">
        <f>V103*Table22[[#This Row],[2017]]</f>
        <v>-4.4300687203791475E-2</v>
      </c>
      <c r="AA103" s="24">
        <f>V103*Table22[[#This Row],[2016]]</f>
        <v>1.398681990521327</v>
      </c>
    </row>
    <row r="104" spans="1:27" x14ac:dyDescent="0.35">
      <c r="A104" s="83" t="s">
        <v>295</v>
      </c>
      <c r="B104" s="84" t="s">
        <v>792</v>
      </c>
      <c r="C104" s="84" t="str">
        <f>Table22[[#This Row],[Ticker]]&amp; ( "US EQUITY")</f>
        <v>ISRGUS EQUITY</v>
      </c>
      <c r="D104" s="85">
        <v>0.50003268187463235</v>
      </c>
      <c r="E104" s="85">
        <v>0.49996731812536765</v>
      </c>
      <c r="F104" s="86">
        <f>_xlfn.XLOOKUP(Table22[[#This Row],[Ticker]],D!B:B,D!D:D,"not found")</f>
        <v>20430000000</v>
      </c>
      <c r="G104" s="87">
        <v>38.391269999999999</v>
      </c>
      <c r="H104" s="88">
        <v>23.433969999999999</v>
      </c>
      <c r="I104" s="89">
        <v>31.23255</v>
      </c>
      <c r="J104" s="89">
        <v>72.638239999999996</v>
      </c>
      <c r="K104" s="90">
        <v>16.114339999999999</v>
      </c>
      <c r="N104" s="1">
        <f>D!E102</f>
        <v>2.2631815946215117E-3</v>
      </c>
      <c r="O104" s="25">
        <f>N104*Table22[[#This Row],[2020]]</f>
        <v>8.6886415658145005E-2</v>
      </c>
      <c r="P104" s="16">
        <f>N104*Table22[[#This Row],[2019]]</f>
        <v>5.3035329592912663E-2</v>
      </c>
      <c r="Q104" s="15">
        <f>N104*Table22[[#This Row],[2018]]</f>
        <v>7.0684932313096097E-2</v>
      </c>
      <c r="R104" s="15">
        <f>N104*Table22[[#This Row],[2017]]</f>
        <v>0.16439352783370006</v>
      </c>
      <c r="S104" s="24">
        <f>N104*Table22[[#This Row],[2016]]</f>
        <v>3.646967769747321E-2</v>
      </c>
      <c r="V104">
        <f t="shared" si="2"/>
        <v>4.7393364928909956E-3</v>
      </c>
      <c r="W104" s="25">
        <f>V104*Table22[[#This Row],[2020]]</f>
        <v>0.18194914691943129</v>
      </c>
      <c r="X104" s="16">
        <f>V104*Table22[[#This Row],[2019]]</f>
        <v>0.1110614691943128</v>
      </c>
      <c r="Y104" s="15">
        <f>V104*Table22[[#This Row],[2018]]</f>
        <v>0.14802156398104266</v>
      </c>
      <c r="Z104" s="15">
        <f>V104*Table22[[#This Row],[2017]]</f>
        <v>0.34425706161137443</v>
      </c>
      <c r="AA104" s="24">
        <f>V104*Table22[[#This Row],[2016]]</f>
        <v>7.6371279620853078E-2</v>
      </c>
    </row>
    <row r="105" spans="1:27" x14ac:dyDescent="0.35">
      <c r="A105" s="83" t="s">
        <v>496</v>
      </c>
      <c r="B105" s="84" t="s">
        <v>980</v>
      </c>
      <c r="C105" s="84" t="str">
        <f>Table22[[#This Row],[Ticker]]&amp; ( "US EQUITY")</f>
        <v>WUUS EQUITY</v>
      </c>
      <c r="D105" s="85">
        <v>0.75877192982456143</v>
      </c>
      <c r="E105" s="85">
        <v>0.2412280701754386</v>
      </c>
      <c r="F105" s="86">
        <f>_xlfn.XLOOKUP(Table22[[#This Row],[Ticker]],D!B:B,D!D:D,"not found")</f>
        <v>9000000000</v>
      </c>
      <c r="G105" s="87">
        <v>-14.67187</v>
      </c>
      <c r="H105" s="88">
        <v>62.847589999999997</v>
      </c>
      <c r="I105" s="89">
        <v>-6.6807449999999999</v>
      </c>
      <c r="J105" s="89">
        <v>-9.2837630000000004</v>
      </c>
      <c r="K105" s="90">
        <v>25.26192</v>
      </c>
      <c r="N105" s="1">
        <f>D!E103</f>
        <v>9.9699629719009327E-4</v>
      </c>
      <c r="O105" s="25">
        <f>N105*Table22[[#This Row],[2020]]</f>
        <v>-1.4627800062854414E-2</v>
      </c>
      <c r="P105" s="16">
        <f>N105*Table22[[#This Row],[2019]]</f>
        <v>6.2658814517321137E-2</v>
      </c>
      <c r="Q105" s="15">
        <f>N105*Table22[[#This Row],[2018]]</f>
        <v>-6.6606780274712299E-3</v>
      </c>
      <c r="R105" s="15">
        <f>N105*Table22[[#This Row],[2017]]</f>
        <v>-9.2558773349903922E-3</v>
      </c>
      <c r="S105" s="24">
        <f>N105*Table22[[#This Row],[2016]]</f>
        <v>2.5186040699912361E-2</v>
      </c>
      <c r="V105">
        <f t="shared" si="2"/>
        <v>4.7393364928909956E-3</v>
      </c>
      <c r="W105" s="25">
        <f>V105*Table22[[#This Row],[2020]]</f>
        <v>-6.9534928909952609E-2</v>
      </c>
      <c r="X105" s="16">
        <f>V105*Table22[[#This Row],[2019]]</f>
        <v>0.29785587677725117</v>
      </c>
      <c r="Y105" s="15">
        <f>V105*Table22[[#This Row],[2018]]</f>
        <v>-3.1662298578199057E-2</v>
      </c>
      <c r="Z105" s="15">
        <f>V105*Table22[[#This Row],[2017]]</f>
        <v>-4.3998876777251193E-2</v>
      </c>
      <c r="AA105" s="24">
        <f>V105*Table22[[#This Row],[2016]]</f>
        <v>0.1197247393364929</v>
      </c>
    </row>
    <row r="106" spans="1:27" x14ac:dyDescent="0.35">
      <c r="A106" s="83" t="s">
        <v>276</v>
      </c>
      <c r="B106" s="84" t="s">
        <v>774</v>
      </c>
      <c r="C106" s="84" t="str">
        <f>Table22[[#This Row],[Ticker]]&amp; ( "US EQUITY")</f>
        <v>HOLXUS EQUITY</v>
      </c>
      <c r="D106" s="85">
        <v>0.54410781911338824</v>
      </c>
      <c r="E106" s="85">
        <v>0.45589218088661171</v>
      </c>
      <c r="F106" s="86">
        <f>_xlfn.XLOOKUP(Table22[[#This Row],[Ticker]],D!B:B,D!D:D,"not found")</f>
        <v>10970000000</v>
      </c>
      <c r="G106" s="87">
        <v>39.494349999999997</v>
      </c>
      <c r="H106" s="88">
        <v>27.031639999999999</v>
      </c>
      <c r="I106" s="89">
        <v>-3.8596509999999999</v>
      </c>
      <c r="J106" s="89">
        <v>6.5553309999999998</v>
      </c>
      <c r="K106" s="90">
        <v>3.6960479999999998</v>
      </c>
      <c r="N106" s="1">
        <f>D!E104</f>
        <v>1.2152277089083692E-3</v>
      </c>
      <c r="O106" s="25">
        <f>N106*Table22[[#This Row],[2020]]</f>
        <v>4.7994628465325248E-2</v>
      </c>
      <c r="P106" s="16">
        <f>N106*Table22[[#This Row],[2019]]</f>
        <v>3.2849597945235828E-2</v>
      </c>
      <c r="Q106" s="15">
        <f>N106*Table22[[#This Row],[2018]]</f>
        <v>-4.6903548419158963E-3</v>
      </c>
      <c r="R106" s="15">
        <f>N106*Table22[[#This Row],[2017]]</f>
        <v>7.9662198722660095E-3</v>
      </c>
      <c r="S106" s="24">
        <f>N106*Table22[[#This Row],[2016]]</f>
        <v>4.4915399430553596E-3</v>
      </c>
      <c r="V106">
        <f t="shared" si="2"/>
        <v>4.7393364928909956E-3</v>
      </c>
      <c r="W106" s="25">
        <f>V106*Table22[[#This Row],[2020]]</f>
        <v>0.18717701421800947</v>
      </c>
      <c r="X106" s="16">
        <f>V106*Table22[[#This Row],[2019]]</f>
        <v>0.12811203791469195</v>
      </c>
      <c r="Y106" s="15">
        <f>V106*Table22[[#This Row],[2018]]</f>
        <v>-1.8292184834123225E-2</v>
      </c>
      <c r="Z106" s="15">
        <f>V106*Table22[[#This Row],[2017]]</f>
        <v>3.1067919431279623E-2</v>
      </c>
      <c r="AA106" s="24">
        <f>V106*Table22[[#This Row],[2016]]</f>
        <v>1.7516815165876779E-2</v>
      </c>
    </row>
    <row r="107" spans="1:27" x14ac:dyDescent="0.35">
      <c r="A107" s="83" t="s">
        <v>379</v>
      </c>
      <c r="B107" s="84" t="s">
        <v>875</v>
      </c>
      <c r="C107" s="84" t="str">
        <f>Table22[[#This Row],[Ticker]]&amp; ( "US EQUITY")</f>
        <v>PKGUS EQUITY</v>
      </c>
      <c r="D107" s="85">
        <v>0.53814616755793221</v>
      </c>
      <c r="E107" s="85">
        <v>0.46185383244206774</v>
      </c>
      <c r="F107" s="86">
        <f>_xlfn.XLOOKUP(Table22[[#This Row],[Ticker]],D!B:B,D!D:D,"not found")</f>
        <v>6060000000</v>
      </c>
      <c r="G107" s="87">
        <v>27.266909999999999</v>
      </c>
      <c r="H107" s="88">
        <v>38.345840000000003</v>
      </c>
      <c r="I107" s="89">
        <v>-28.861149999999999</v>
      </c>
      <c r="J107" s="89">
        <v>45.492370000000001</v>
      </c>
      <c r="K107" s="90">
        <v>39.090969999999999</v>
      </c>
      <c r="N107" s="1">
        <f>D!E105</f>
        <v>6.7131084010799613E-4</v>
      </c>
      <c r="O107" s="25">
        <f>N107*Table22[[#This Row],[2020]]</f>
        <v>1.830457225924912E-2</v>
      </c>
      <c r="P107" s="16">
        <f>N107*Table22[[#This Row],[2019]]</f>
        <v>2.5741978065046803E-2</v>
      </c>
      <c r="Q107" s="15">
        <f>N107*Table22[[#This Row],[2018]]</f>
        <v>-1.9374802852982893E-2</v>
      </c>
      <c r="R107" s="15">
        <f>N107*Table22[[#This Row],[2017]]</f>
        <v>3.0539521123203801E-2</v>
      </c>
      <c r="S107" s="24">
        <f>N107*Table22[[#This Row],[2016]]</f>
        <v>2.6242191911336473E-2</v>
      </c>
      <c r="V107">
        <f t="shared" si="2"/>
        <v>4.7393364928909956E-3</v>
      </c>
      <c r="W107" s="25">
        <f>V107*Table22[[#This Row],[2020]]</f>
        <v>0.12922706161137443</v>
      </c>
      <c r="X107" s="16">
        <f>V107*Table22[[#This Row],[2019]]</f>
        <v>0.18173383886255925</v>
      </c>
      <c r="Y107" s="15">
        <f>V107*Table22[[#This Row],[2018]]</f>
        <v>-0.13678270142180096</v>
      </c>
      <c r="Z107" s="15">
        <f>V107*Table22[[#This Row],[2017]]</f>
        <v>0.21560364928909956</v>
      </c>
      <c r="AA107" s="24">
        <f>V107*Table22[[#This Row],[2016]]</f>
        <v>0.18526526066350713</v>
      </c>
    </row>
    <row r="108" spans="1:27" x14ac:dyDescent="0.35">
      <c r="A108" s="83" t="s">
        <v>3</v>
      </c>
      <c r="B108" s="84" t="s">
        <v>515</v>
      </c>
      <c r="C108" s="91" t="str">
        <f>B108&amp;( "US EQUITY")</f>
        <v>IFFUS EQUITY</v>
      </c>
      <c r="D108" s="85">
        <v>1</v>
      </c>
      <c r="E108" s="85">
        <v>0</v>
      </c>
      <c r="F108" s="86">
        <f>_xlfn.XLOOKUP(Table22[[#This Row],[Ticker]],D!B:B,D!D:D,"not found")</f>
        <v>9570000000</v>
      </c>
      <c r="G108" s="87">
        <v>-13.34502</v>
      </c>
      <c r="H108" s="92">
        <v>-1.676363</v>
      </c>
      <c r="I108" s="93">
        <v>-10.114990000000001</v>
      </c>
      <c r="J108" s="93">
        <v>31.96219</v>
      </c>
      <c r="K108" s="94">
        <v>0.39699079999999998</v>
      </c>
      <c r="N108" s="1">
        <f>D!E106</f>
        <v>1.0601393960121325E-3</v>
      </c>
      <c r="O108" s="25">
        <f t="shared" ref="O108:O139" si="3">N108*G108</f>
        <v>-1.4147581442569827E-2</v>
      </c>
      <c r="P108" s="17">
        <f t="shared" ref="P108:P139" si="4">N108*H108</f>
        <v>-1.7771784583170865E-3</v>
      </c>
      <c r="Q108" s="22">
        <f t="shared" ref="Q108:Q139" si="5">N108*I108</f>
        <v>-1.072329938926876E-2</v>
      </c>
      <c r="R108" s="22">
        <f t="shared" ref="R108:R139" si="6">N108*J108</f>
        <v>3.3884376801825017E-2</v>
      </c>
      <c r="S108" s="26">
        <f t="shared" ref="S108:S139" si="7">N108*K108</f>
        <v>4.2086558693437326E-4</v>
      </c>
      <c r="V108">
        <f t="shared" si="2"/>
        <v>4.7393364928909956E-3</v>
      </c>
      <c r="W108" s="25">
        <f t="shared" ref="W108:W139" si="8">V108*G108</f>
        <v>-6.3246540284360192E-2</v>
      </c>
      <c r="X108" s="17">
        <f t="shared" ref="X108:X139" si="9">V108*H108</f>
        <v>-7.9448483412322291E-3</v>
      </c>
      <c r="Y108" s="22">
        <f t="shared" ref="Y108:Y139" si="10">V108*I108</f>
        <v>-4.7938341232227497E-2</v>
      </c>
      <c r="Z108" s="22">
        <f t="shared" ref="Z108:Z139" si="11">V108*J108</f>
        <v>0.15147957345971566</v>
      </c>
      <c r="AA108" s="26">
        <f t="shared" ref="AA108:AA139" si="12">V108*K108</f>
        <v>1.8814729857819905E-3</v>
      </c>
    </row>
    <row r="109" spans="1:27" x14ac:dyDescent="0.35">
      <c r="A109" s="83" t="s">
        <v>4</v>
      </c>
      <c r="B109" s="84" t="s">
        <v>516</v>
      </c>
      <c r="C109" s="91" t="str">
        <f t="shared" ref="C109:C172" si="13">B109&amp;( "US EQUITY")</f>
        <v>COOUS EQUITY</v>
      </c>
      <c r="D109" s="85">
        <v>1</v>
      </c>
      <c r="E109" s="85">
        <v>0</v>
      </c>
      <c r="F109" s="86">
        <f>_xlfn.XLOOKUP(Table22[[#This Row],[Ticker]],D!B:B,D!D:D,"not found")</f>
        <v>6480000000</v>
      </c>
      <c r="G109" s="87">
        <v>13.10277</v>
      </c>
      <c r="H109" s="92">
        <v>26.269030000000001</v>
      </c>
      <c r="I109" s="93">
        <v>16.836030000000001</v>
      </c>
      <c r="J109" s="93">
        <v>24.587869999999999</v>
      </c>
      <c r="K109" s="94">
        <v>30.403659999999999</v>
      </c>
      <c r="N109" s="1">
        <f>D!E107</f>
        <v>7.1783733397686714E-4</v>
      </c>
      <c r="O109" s="25">
        <f t="shared" si="3"/>
        <v>9.4056574845120759E-3</v>
      </c>
      <c r="P109" s="17">
        <f t="shared" si="4"/>
        <v>1.8856890461358342E-2</v>
      </c>
      <c r="Q109" s="22">
        <f t="shared" si="5"/>
        <v>1.2085530889954555E-2</v>
      </c>
      <c r="R109" s="22">
        <f t="shared" si="6"/>
        <v>1.765009104896979E-2</v>
      </c>
      <c r="S109" s="26">
        <f t="shared" si="7"/>
        <v>2.1824882237539114E-2</v>
      </c>
      <c r="V109">
        <f t="shared" si="2"/>
        <v>4.7393364928909956E-3</v>
      </c>
      <c r="W109" s="25">
        <f t="shared" si="8"/>
        <v>6.2098436018957349E-2</v>
      </c>
      <c r="X109" s="17">
        <f t="shared" si="9"/>
        <v>0.12449777251184835</v>
      </c>
      <c r="Y109" s="22">
        <f t="shared" si="10"/>
        <v>7.9791611374407587E-2</v>
      </c>
      <c r="Z109" s="22">
        <f t="shared" si="11"/>
        <v>0.11653018957345972</v>
      </c>
      <c r="AA109" s="26">
        <f t="shared" si="12"/>
        <v>0.14409317535545024</v>
      </c>
    </row>
    <row r="110" spans="1:27" x14ac:dyDescent="0.35">
      <c r="A110" s="83" t="s">
        <v>94</v>
      </c>
      <c r="B110" s="84" t="s">
        <v>598</v>
      </c>
      <c r="C110" s="91" t="str">
        <f t="shared" si="13"/>
        <v>ALLEUS EQUITY</v>
      </c>
      <c r="D110" s="85">
        <v>0.8</v>
      </c>
      <c r="E110" s="85">
        <v>0.2</v>
      </c>
      <c r="F110" s="86">
        <f>_xlfn.XLOOKUP(Table22[[#This Row],[Ticker]],D!B:B,D!D:D,"not found")</f>
        <v>6330000000</v>
      </c>
      <c r="G110" s="87">
        <v>-5.3853150000000003</v>
      </c>
      <c r="H110" s="92">
        <v>57.882919999999999</v>
      </c>
      <c r="I110" s="93">
        <v>1.1791469999999999</v>
      </c>
      <c r="J110" s="93">
        <v>25.31446</v>
      </c>
      <c r="K110" s="94">
        <v>-2.2040609999999998</v>
      </c>
      <c r="N110" s="1">
        <f>D!E108</f>
        <v>7.0122072902369895E-4</v>
      </c>
      <c r="O110" s="25">
        <f t="shared" si="3"/>
        <v>-3.7762945103222614E-3</v>
      </c>
      <c r="P110" s="17">
        <f t="shared" si="4"/>
        <v>4.058870336042044E-2</v>
      </c>
      <c r="Q110" s="22">
        <f t="shared" si="5"/>
        <v>8.2684231896610748E-4</v>
      </c>
      <c r="R110" s="22">
        <f t="shared" si="6"/>
        <v>1.7751024096041266E-2</v>
      </c>
      <c r="S110" s="26">
        <f t="shared" si="7"/>
        <v>-1.5455332612327028E-3</v>
      </c>
      <c r="V110">
        <f t="shared" si="2"/>
        <v>4.7393364928909956E-3</v>
      </c>
      <c r="W110" s="25">
        <f t="shared" si="8"/>
        <v>-2.5522819905213275E-2</v>
      </c>
      <c r="X110" s="17">
        <f t="shared" si="9"/>
        <v>0.27432663507109006</v>
      </c>
      <c r="Y110" s="22">
        <f t="shared" si="10"/>
        <v>5.5883744075829389E-3</v>
      </c>
      <c r="Z110" s="22">
        <f t="shared" si="11"/>
        <v>0.11997374407582939</v>
      </c>
      <c r="AA110" s="26">
        <f t="shared" si="12"/>
        <v>-1.044578672985782E-2</v>
      </c>
    </row>
    <row r="111" spans="1:27" x14ac:dyDescent="0.35">
      <c r="A111" s="83" t="s">
        <v>448</v>
      </c>
      <c r="B111" s="84" t="s">
        <v>939</v>
      </c>
      <c r="C111" s="91" t="str">
        <f t="shared" si="13"/>
        <v>TERUS EQUITY</v>
      </c>
      <c r="D111" s="85">
        <v>0.75</v>
      </c>
      <c r="E111" s="85">
        <v>0.25</v>
      </c>
      <c r="F111" s="86">
        <f>_xlfn.XLOOKUP(Table22[[#This Row],[Ticker]],D!B:B,D!D:D,"not found")</f>
        <v>4210000000</v>
      </c>
      <c r="G111" s="87">
        <v>76.709590000000006</v>
      </c>
      <c r="H111" s="92">
        <v>118.9363</v>
      </c>
      <c r="I111" s="93">
        <v>-24.373529999999999</v>
      </c>
      <c r="J111" s="93">
        <v>66.155450000000002</v>
      </c>
      <c r="K111" s="94">
        <v>24.293780000000002</v>
      </c>
      <c r="N111" s="1">
        <f>D!E109</f>
        <v>4.6637271235225471E-4</v>
      </c>
      <c r="O111" s="25">
        <f t="shared" si="3"/>
        <v>3.5775259551729395E-2</v>
      </c>
      <c r="P111" s="17">
        <f t="shared" si="4"/>
        <v>5.5468644828141477E-2</v>
      </c>
      <c r="Q111" s="22">
        <f t="shared" si="5"/>
        <v>-1.136714929569905E-2</v>
      </c>
      <c r="R111" s="22">
        <f t="shared" si="6"/>
        <v>3.0853096653383968E-2</v>
      </c>
      <c r="S111" s="26">
        <f t="shared" si="7"/>
        <v>1.1329956071888959E-2</v>
      </c>
      <c r="V111">
        <f t="shared" si="2"/>
        <v>4.7393364928909956E-3</v>
      </c>
      <c r="W111" s="25">
        <f t="shared" si="8"/>
        <v>0.36355255924170621</v>
      </c>
      <c r="X111" s="17">
        <f t="shared" si="9"/>
        <v>0.56367914691943133</v>
      </c>
      <c r="Y111" s="22">
        <f t="shared" si="10"/>
        <v>-0.11551436018957346</v>
      </c>
      <c r="Z111" s="22">
        <f t="shared" si="11"/>
        <v>0.31353293838862561</v>
      </c>
      <c r="AA111" s="26">
        <f t="shared" si="12"/>
        <v>0.11513639810426542</v>
      </c>
    </row>
    <row r="112" spans="1:27" x14ac:dyDescent="0.35">
      <c r="A112" s="83" t="s">
        <v>108</v>
      </c>
      <c r="B112" s="84" t="s">
        <v>612</v>
      </c>
      <c r="C112" s="91" t="str">
        <f t="shared" si="13"/>
        <v>AMEUS EQUITY</v>
      </c>
      <c r="D112" s="85">
        <v>0.73684210526315785</v>
      </c>
      <c r="E112" s="85">
        <v>0.26315789473684209</v>
      </c>
      <c r="F112" s="86">
        <f>_xlfn.XLOOKUP(Table22[[#This Row],[Ticker]],D!B:B,D!D:D,"not found")</f>
        <v>12620000000</v>
      </c>
      <c r="G112" s="87">
        <v>22.234439999999999</v>
      </c>
      <c r="H112" s="92">
        <v>48.263689999999997</v>
      </c>
      <c r="I112" s="93">
        <v>-5.8926049999999996</v>
      </c>
      <c r="J112" s="93">
        <v>49.97777</v>
      </c>
      <c r="K112" s="94">
        <v>-8.6270919999999993</v>
      </c>
      <c r="N112" s="1">
        <f>D!E110</f>
        <v>1.3980103633932197E-3</v>
      </c>
      <c r="O112" s="25">
        <f t="shared" si="3"/>
        <v>3.1083977544244738E-2</v>
      </c>
      <c r="P112" s="17">
        <f t="shared" si="4"/>
        <v>6.7473138795597701E-2</v>
      </c>
      <c r="Q112" s="22">
        <f t="shared" si="5"/>
        <v>-8.237922857382703E-3</v>
      </c>
      <c r="R112" s="22">
        <f t="shared" si="6"/>
        <v>6.9869440399282751E-2</v>
      </c>
      <c r="S112" s="26">
        <f t="shared" si="7"/>
        <v>-1.2060764021946738E-2</v>
      </c>
      <c r="V112">
        <f t="shared" si="2"/>
        <v>4.7393364928909956E-3</v>
      </c>
      <c r="W112" s="25">
        <f t="shared" si="8"/>
        <v>0.10537649289099527</v>
      </c>
      <c r="X112" s="17">
        <f t="shared" si="9"/>
        <v>0.2287378672985782</v>
      </c>
      <c r="Y112" s="22">
        <f t="shared" si="10"/>
        <v>-2.7927037914691942E-2</v>
      </c>
      <c r="Z112" s="22">
        <f t="shared" si="11"/>
        <v>0.23686146919431281</v>
      </c>
      <c r="AA112" s="26">
        <f t="shared" si="12"/>
        <v>-4.088669194312796E-2</v>
      </c>
    </row>
    <row r="113" spans="1:27" x14ac:dyDescent="0.35">
      <c r="A113" s="83" t="s">
        <v>247</v>
      </c>
      <c r="B113" s="84" t="s">
        <v>747</v>
      </c>
      <c r="C113" s="91" t="str">
        <f t="shared" si="13"/>
        <v>FLTUS EQUITY</v>
      </c>
      <c r="D113" s="85">
        <v>1</v>
      </c>
      <c r="E113" s="85">
        <v>0</v>
      </c>
      <c r="F113" s="86">
        <f>_xlfn.XLOOKUP(Table22[[#This Row],[Ticker]],D!B:B,D!D:D,"not found")</f>
        <v>13200000000</v>
      </c>
      <c r="G113" s="87">
        <v>-5.175179</v>
      </c>
      <c r="H113" s="92">
        <v>54.921390000000002</v>
      </c>
      <c r="I113" s="93">
        <v>-3.4869729999999999</v>
      </c>
      <c r="J113" s="93">
        <v>35.97372</v>
      </c>
      <c r="K113" s="94">
        <v>-0.98648670000000005</v>
      </c>
      <c r="N113" s="1">
        <f>D!E111</f>
        <v>1.4622612358788033E-3</v>
      </c>
      <c r="O113" s="25">
        <f t="shared" si="3"/>
        <v>-7.5674636404340296E-3</v>
      </c>
      <c r="P113" s="17">
        <f t="shared" si="4"/>
        <v>8.0309419617581757E-2</v>
      </c>
      <c r="Q113" s="22">
        <f t="shared" si="5"/>
        <v>-5.0988654484560181E-3</v>
      </c>
      <c r="R113" s="22">
        <f t="shared" si="6"/>
        <v>5.2602976266358022E-2</v>
      </c>
      <c r="S113" s="26">
        <f t="shared" si="7"/>
        <v>-1.4425012611200025E-3</v>
      </c>
      <c r="V113">
        <f t="shared" si="2"/>
        <v>4.7393364928909956E-3</v>
      </c>
      <c r="W113" s="25">
        <f t="shared" si="8"/>
        <v>-2.4526914691943128E-2</v>
      </c>
      <c r="X113" s="17">
        <f t="shared" si="9"/>
        <v>0.26029094786729862</v>
      </c>
      <c r="Y113" s="22">
        <f t="shared" si="10"/>
        <v>-1.6525938388625594E-2</v>
      </c>
      <c r="Z113" s="22">
        <f t="shared" si="11"/>
        <v>0.17049156398104268</v>
      </c>
      <c r="AA113" s="26">
        <f t="shared" si="12"/>
        <v>-4.675292417061612E-3</v>
      </c>
    </row>
    <row r="114" spans="1:27" x14ac:dyDescent="0.35">
      <c r="A114" s="83" t="s">
        <v>404</v>
      </c>
      <c r="B114" s="84" t="s">
        <v>899</v>
      </c>
      <c r="C114" s="91" t="str">
        <f t="shared" si="13"/>
        <v>QRVOUS EQUITY</v>
      </c>
      <c r="D114" s="85">
        <v>0.73684210526315785</v>
      </c>
      <c r="E114" s="85">
        <v>0.26315789473684209</v>
      </c>
      <c r="F114" s="86">
        <f>_xlfn.XLOOKUP(Table22[[#This Row],[Ticker]],D!B:B,D!D:D,"not found")</f>
        <v>7190000000</v>
      </c>
      <c r="G114" s="87">
        <v>43.052590000000002</v>
      </c>
      <c r="H114" s="92">
        <v>91.388090000000005</v>
      </c>
      <c r="I114" s="93">
        <v>-8.8138050000000003</v>
      </c>
      <c r="J114" s="93">
        <v>26.303820000000002</v>
      </c>
      <c r="K114" s="94">
        <v>3.5952570000000001</v>
      </c>
      <c r="N114" s="1">
        <f>D!E112</f>
        <v>7.9648926408853007E-4</v>
      </c>
      <c r="O114" s="25">
        <f t="shared" si="3"/>
        <v>3.4290925726205207E-2</v>
      </c>
      <c r="P114" s="17">
        <f t="shared" si="4"/>
        <v>7.2789632550556357E-2</v>
      </c>
      <c r="Q114" s="22">
        <f t="shared" si="5"/>
        <v>-7.0201010582698073E-3</v>
      </c>
      <c r="R114" s="22">
        <f t="shared" si="6"/>
        <v>2.095071023451716E-2</v>
      </c>
      <c r="S114" s="26">
        <f t="shared" si="7"/>
        <v>2.8635836021391366E-3</v>
      </c>
      <c r="V114">
        <f t="shared" si="2"/>
        <v>4.7393364928909956E-3</v>
      </c>
      <c r="W114" s="25">
        <f t="shared" si="8"/>
        <v>0.20404071090047396</v>
      </c>
      <c r="X114" s="17">
        <f t="shared" si="9"/>
        <v>0.43311890995260671</v>
      </c>
      <c r="Y114" s="22">
        <f t="shared" si="10"/>
        <v>-4.1771587677725125E-2</v>
      </c>
      <c r="Z114" s="22">
        <f t="shared" si="11"/>
        <v>0.12466265402843604</v>
      </c>
      <c r="AA114" s="26">
        <f t="shared" si="12"/>
        <v>1.7039132701421805E-2</v>
      </c>
    </row>
    <row r="115" spans="1:27" x14ac:dyDescent="0.35">
      <c r="A115" s="83" t="s">
        <v>342</v>
      </c>
      <c r="B115" s="84" t="s">
        <v>839</v>
      </c>
      <c r="C115" s="91" t="str">
        <f t="shared" si="13"/>
        <v>MTDUS EQUITY</v>
      </c>
      <c r="D115" s="85">
        <v>0.64388489208633093</v>
      </c>
      <c r="E115" s="85">
        <v>0.35611510791366907</v>
      </c>
      <c r="F115" s="86">
        <f>_xlfn.XLOOKUP(Table22[[#This Row],[Ticker]],D!B:B,D!D:D,"not found")</f>
        <v>9190000000</v>
      </c>
      <c r="G115" s="87">
        <v>43.666809999999998</v>
      </c>
      <c r="H115" s="92">
        <v>40.259540000000001</v>
      </c>
      <c r="I115" s="93">
        <v>-8.7067420000000002</v>
      </c>
      <c r="J115" s="93">
        <v>48.012230000000002</v>
      </c>
      <c r="K115" s="94">
        <v>23.421690000000002</v>
      </c>
      <c r="N115" s="1">
        <f>D!E113</f>
        <v>1.0180439967974397E-3</v>
      </c>
      <c r="O115" s="25">
        <f t="shared" si="3"/>
        <v>4.4454733779794406E-2</v>
      </c>
      <c r="P115" s="17">
        <f t="shared" si="4"/>
        <v>4.0985983010826399E-2</v>
      </c>
      <c r="Q115" s="22">
        <f t="shared" si="5"/>
        <v>-8.8638464247641335E-3</v>
      </c>
      <c r="R115" s="22">
        <f t="shared" si="6"/>
        <v>4.8878562524357939E-2</v>
      </c>
      <c r="S115" s="26">
        <f t="shared" si="7"/>
        <v>2.3844310899350626E-2</v>
      </c>
      <c r="V115">
        <f t="shared" si="2"/>
        <v>4.7393364928909956E-3</v>
      </c>
      <c r="W115" s="25">
        <f t="shared" si="8"/>
        <v>0.20695170616113745</v>
      </c>
      <c r="X115" s="17">
        <f t="shared" si="9"/>
        <v>0.19080350710900476</v>
      </c>
      <c r="Y115" s="22">
        <f t="shared" si="10"/>
        <v>-4.1264180094786732E-2</v>
      </c>
      <c r="Z115" s="22">
        <f t="shared" si="11"/>
        <v>0.22754611374407585</v>
      </c>
      <c r="AA115" s="26">
        <f t="shared" si="12"/>
        <v>0.11100327014218012</v>
      </c>
    </row>
    <row r="116" spans="1:27" x14ac:dyDescent="0.35">
      <c r="A116" s="83" t="s">
        <v>201</v>
      </c>
      <c r="B116" s="84" t="s">
        <v>703</v>
      </c>
      <c r="C116" s="91" t="str">
        <f t="shared" si="13"/>
        <v>XRAYUS EQUITY</v>
      </c>
      <c r="D116" s="85">
        <v>0.59236468667587594</v>
      </c>
      <c r="E116" s="85">
        <v>0.40763531332412406</v>
      </c>
      <c r="F116" s="86">
        <f>_xlfn.XLOOKUP(Table22[[#This Row],[Ticker]],D!B:B,D!D:D,"not found")</f>
        <v>8529999999.999999</v>
      </c>
      <c r="G116" s="87">
        <v>-6.6247759999999998</v>
      </c>
      <c r="H116" s="92">
        <v>53.140009999999997</v>
      </c>
      <c r="I116" s="93">
        <v>-42.99821</v>
      </c>
      <c r="J116" s="93">
        <v>14.662240000000001</v>
      </c>
      <c r="K116" s="94">
        <v>-4.6401500000000002</v>
      </c>
      <c r="N116" s="1">
        <f>D!E114</f>
        <v>9.449309350034994E-4</v>
      </c>
      <c r="O116" s="25">
        <f t="shared" si="3"/>
        <v>-6.2599557798687427E-3</v>
      </c>
      <c r="P116" s="17">
        <f t="shared" si="4"/>
        <v>5.0213639335395306E-2</v>
      </c>
      <c r="Q116" s="22">
        <f t="shared" si="5"/>
        <v>-4.0630338778776816E-2</v>
      </c>
      <c r="R116" s="22">
        <f t="shared" si="6"/>
        <v>1.3854804152445709E-2</v>
      </c>
      <c r="S116" s="26">
        <f t="shared" si="7"/>
        <v>-4.3846212780564876E-3</v>
      </c>
      <c r="V116">
        <f t="shared" si="2"/>
        <v>4.7393364928909956E-3</v>
      </c>
      <c r="W116" s="25">
        <f t="shared" si="8"/>
        <v>-3.1397042654028436E-2</v>
      </c>
      <c r="X116" s="17">
        <f t="shared" si="9"/>
        <v>0.25184838862559245</v>
      </c>
      <c r="Y116" s="22">
        <f t="shared" si="10"/>
        <v>-0.20378298578199053</v>
      </c>
      <c r="Z116" s="22">
        <f t="shared" si="11"/>
        <v>6.9489289099526078E-2</v>
      </c>
      <c r="AA116" s="26">
        <f t="shared" si="12"/>
        <v>-2.1991232227488153E-2</v>
      </c>
    </row>
    <row r="117" spans="1:27" x14ac:dyDescent="0.35">
      <c r="A117" s="83" t="s">
        <v>203</v>
      </c>
      <c r="B117" s="84" t="s">
        <v>705</v>
      </c>
      <c r="C117" s="91" t="str">
        <f t="shared" si="13"/>
        <v>DXCMUS EQUITY</v>
      </c>
      <c r="D117" s="85">
        <v>0.83022071307300505</v>
      </c>
      <c r="E117" s="85">
        <v>0.1697792869269949</v>
      </c>
      <c r="F117" s="86">
        <f>_xlfn.XLOOKUP(Table22[[#This Row],[Ticker]],D!B:B,D!D:D,"not found")</f>
        <v>6690000000</v>
      </c>
      <c r="G117" s="87">
        <v>69.022580000000005</v>
      </c>
      <c r="H117" s="92">
        <v>82.587620000000001</v>
      </c>
      <c r="I117" s="93">
        <v>108.7471</v>
      </c>
      <c r="J117" s="93">
        <v>-3.8693430000000002</v>
      </c>
      <c r="K117" s="94">
        <v>-27.10623</v>
      </c>
      <c r="N117" s="1">
        <f>D!E115</f>
        <v>7.4110058091130264E-4</v>
      </c>
      <c r="O117" s="25">
        <f t="shared" si="3"/>
        <v>5.1152674133996864E-2</v>
      </c>
      <c r="P117" s="17">
        <f t="shared" si="4"/>
        <v>6.1205733158081914E-2</v>
      </c>
      <c r="Q117" s="22">
        <f t="shared" si="5"/>
        <v>8.0592538982419526E-2</v>
      </c>
      <c r="R117" s="22">
        <f t="shared" si="6"/>
        <v>-2.8675723450450824E-3</v>
      </c>
      <c r="S117" s="26">
        <f t="shared" si="7"/>
        <v>-2.0088442799315379E-2</v>
      </c>
      <c r="V117">
        <f t="shared" si="2"/>
        <v>4.7393364928909956E-3</v>
      </c>
      <c r="W117" s="25">
        <f t="shared" si="8"/>
        <v>0.32712123222748818</v>
      </c>
      <c r="X117" s="17">
        <f t="shared" si="9"/>
        <v>0.39141052132701426</v>
      </c>
      <c r="Y117" s="22">
        <f t="shared" si="10"/>
        <v>0.51538909952606637</v>
      </c>
      <c r="Z117" s="22">
        <f t="shared" si="11"/>
        <v>-1.8338118483412325E-2</v>
      </c>
      <c r="AA117" s="26">
        <f t="shared" si="12"/>
        <v>-0.1284655450236967</v>
      </c>
    </row>
    <row r="118" spans="1:27" x14ac:dyDescent="0.35">
      <c r="A118" s="83" t="s">
        <v>443</v>
      </c>
      <c r="B118" s="84" t="s">
        <v>444</v>
      </c>
      <c r="C118" s="91" t="str">
        <f t="shared" si="13"/>
        <v>FTIUS EQUITY</v>
      </c>
      <c r="D118" s="85">
        <v>0.62477726718559501</v>
      </c>
      <c r="E118" s="85">
        <v>0.37522273281440494</v>
      </c>
      <c r="F118" s="86">
        <f>_xlfn.XLOOKUP(Table22[[#This Row],[Ticker]],D!B:B,D!D:D,"not found")</f>
        <v>6000000000</v>
      </c>
      <c r="G118" s="87">
        <v>-55.252009999999999</v>
      </c>
      <c r="H118" s="92">
        <v>12.0677</v>
      </c>
      <c r="I118" s="93">
        <v>-36.318179999999998</v>
      </c>
      <c r="J118" s="93">
        <v>-11.444990000000001</v>
      </c>
      <c r="K118" s="94">
        <v>22.475020000000001</v>
      </c>
      <c r="N118" s="1">
        <f>D!E116</f>
        <v>6.6466419812672881E-4</v>
      </c>
      <c r="O118" s="25">
        <f t="shared" si="3"/>
        <v>-3.6724032921540001E-2</v>
      </c>
      <c r="P118" s="17">
        <f t="shared" si="4"/>
        <v>8.0209681437339257E-3</v>
      </c>
      <c r="Q118" s="22">
        <f t="shared" si="5"/>
        <v>-2.4139393987122199E-2</v>
      </c>
      <c r="R118" s="22">
        <f t="shared" si="6"/>
        <v>-7.6070751009184303E-3</v>
      </c>
      <c r="S118" s="26">
        <f t="shared" si="7"/>
        <v>1.4938341146182194E-2</v>
      </c>
      <c r="V118">
        <f t="shared" si="2"/>
        <v>4.7393364928909956E-3</v>
      </c>
      <c r="W118" s="25">
        <f t="shared" si="8"/>
        <v>-0.26185786729857824</v>
      </c>
      <c r="X118" s="17">
        <f t="shared" si="9"/>
        <v>5.7192890995260669E-2</v>
      </c>
      <c r="Y118" s="22">
        <f t="shared" si="10"/>
        <v>-0.17212407582938388</v>
      </c>
      <c r="Z118" s="22">
        <f t="shared" si="11"/>
        <v>-5.4241658767772517E-2</v>
      </c>
      <c r="AA118" s="26">
        <f t="shared" si="12"/>
        <v>0.10651668246445499</v>
      </c>
    </row>
    <row r="119" spans="1:27" x14ac:dyDescent="0.35">
      <c r="A119" s="83" t="s">
        <v>10</v>
      </c>
      <c r="B119" s="84" t="s">
        <v>522</v>
      </c>
      <c r="C119" s="91" t="str">
        <f t="shared" si="13"/>
        <v>IEXUS EQUITY</v>
      </c>
      <c r="D119" s="85">
        <v>0.68787515006002398</v>
      </c>
      <c r="E119" s="85">
        <v>0.31212484993997597</v>
      </c>
      <c r="F119" s="86">
        <f>_xlfn.XLOOKUP(Table22[[#This Row],[Ticker]],D!B:B,D!D:D,"not found")</f>
        <v>5860000000</v>
      </c>
      <c r="G119" s="87">
        <v>17.196619999999999</v>
      </c>
      <c r="H119" s="92">
        <v>37.945259999999998</v>
      </c>
      <c r="I119" s="93">
        <v>-3.1628370000000001</v>
      </c>
      <c r="J119" s="93">
        <v>48.52073</v>
      </c>
      <c r="K119" s="94">
        <v>19.51765</v>
      </c>
      <c r="N119" s="1">
        <f>D!E117</f>
        <v>6.4915536683710518E-4</v>
      </c>
      <c r="O119" s="25">
        <f t="shared" si="3"/>
        <v>1.11632781644583E-2</v>
      </c>
      <c r="P119" s="17">
        <f t="shared" si="4"/>
        <v>2.4632369175029332E-2</v>
      </c>
      <c r="Q119" s="22">
        <f t="shared" si="5"/>
        <v>-2.0531726129809692E-3</v>
      </c>
      <c r="R119" s="22">
        <f t="shared" si="6"/>
        <v>3.1497492282354135E-2</v>
      </c>
      <c r="S119" s="26">
        <f t="shared" si="7"/>
        <v>1.2669987245548226E-2</v>
      </c>
      <c r="V119">
        <f t="shared" si="2"/>
        <v>4.7393364928909956E-3</v>
      </c>
      <c r="W119" s="25">
        <f t="shared" si="8"/>
        <v>8.1500568720379155E-2</v>
      </c>
      <c r="X119" s="17">
        <f t="shared" si="9"/>
        <v>0.17983535545023696</v>
      </c>
      <c r="Y119" s="22">
        <f t="shared" si="10"/>
        <v>-1.4989748815165878E-2</v>
      </c>
      <c r="Z119" s="22">
        <f t="shared" si="11"/>
        <v>0.22995606635071092</v>
      </c>
      <c r="AA119" s="26">
        <f t="shared" si="12"/>
        <v>9.2500710900473945E-2</v>
      </c>
    </row>
    <row r="120" spans="1:27" x14ac:dyDescent="0.35">
      <c r="A120" s="83" t="s">
        <v>390</v>
      </c>
      <c r="B120" s="84" t="s">
        <v>886</v>
      </c>
      <c r="C120" s="91" t="str">
        <f t="shared" si="13"/>
        <v>PMUS EQUITY</v>
      </c>
      <c r="D120" s="85">
        <v>0.57473684210526321</v>
      </c>
      <c r="E120" s="85">
        <v>0.42526315789473684</v>
      </c>
      <c r="F120" s="86">
        <f>_xlfn.XLOOKUP(Table22[[#This Row],[Ticker]],D!B:B,D!D:D,"not found")</f>
        <v>136199999999.99998</v>
      </c>
      <c r="G120" s="87">
        <v>3.8635250000000001</v>
      </c>
      <c r="H120" s="92">
        <v>34.9694</v>
      </c>
      <c r="I120" s="93">
        <v>-33.23771</v>
      </c>
      <c r="J120" s="93">
        <v>19.88109</v>
      </c>
      <c r="K120" s="94">
        <v>8.5786460000000009</v>
      </c>
      <c r="N120" s="1">
        <f>D!E118</f>
        <v>1.5087877297476742E-2</v>
      </c>
      <c r="O120" s="25">
        <f t="shared" si="3"/>
        <v>5.8292391135733833E-2</v>
      </c>
      <c r="P120" s="17">
        <f t="shared" si="4"/>
        <v>0.52761401636638317</v>
      </c>
      <c r="Q120" s="22">
        <f t="shared" si="5"/>
        <v>-0.50148649012911573</v>
      </c>
      <c r="R120" s="22">
        <f t="shared" si="6"/>
        <v>0.29996344646009188</v>
      </c>
      <c r="S120" s="26">
        <f t="shared" si="7"/>
        <v>0.12943355822648969</v>
      </c>
      <c r="V120">
        <f t="shared" si="2"/>
        <v>4.7393364928909956E-3</v>
      </c>
      <c r="W120" s="25">
        <f t="shared" si="8"/>
        <v>1.8310545023696684E-2</v>
      </c>
      <c r="X120" s="17">
        <f t="shared" si="9"/>
        <v>0.16573175355450237</v>
      </c>
      <c r="Y120" s="22">
        <f t="shared" si="10"/>
        <v>-0.15752469194312799</v>
      </c>
      <c r="Z120" s="22">
        <f t="shared" si="11"/>
        <v>9.4223175355450245E-2</v>
      </c>
      <c r="AA120" s="26">
        <f t="shared" si="12"/>
        <v>4.0657090047393374E-2</v>
      </c>
    </row>
    <row r="121" spans="1:27" x14ac:dyDescent="0.35">
      <c r="A121" s="83" t="s">
        <v>299</v>
      </c>
      <c r="B121" s="84" t="s">
        <v>796</v>
      </c>
      <c r="C121" s="91" t="str">
        <f t="shared" si="13"/>
        <v>JKHYUS EQUITY</v>
      </c>
      <c r="D121" s="85">
        <v>0.59655007187350262</v>
      </c>
      <c r="E121" s="85">
        <v>0.40344992812649738</v>
      </c>
      <c r="F121" s="86">
        <f>_xlfn.XLOOKUP(Table22[[#This Row],[Ticker]],D!B:B,D!D:D,"not found")</f>
        <v>6160000000</v>
      </c>
      <c r="G121" s="87">
        <v>12.39189</v>
      </c>
      <c r="H121" s="92">
        <v>16.443049999999999</v>
      </c>
      <c r="I121" s="93">
        <v>9.3898410000000005</v>
      </c>
      <c r="J121" s="93">
        <v>33.343760000000003</v>
      </c>
      <c r="K121" s="94">
        <v>15.23358</v>
      </c>
      <c r="N121" s="1">
        <f>D!E119</f>
        <v>6.8238857674344155E-4</v>
      </c>
      <c r="O121" s="25">
        <f t="shared" si="3"/>
        <v>8.4560841802612859E-3</v>
      </c>
      <c r="P121" s="17">
        <f t="shared" si="4"/>
        <v>1.1220549486821246E-2</v>
      </c>
      <c r="Q121" s="22">
        <f t="shared" si="5"/>
        <v>6.4075202358372142E-3</v>
      </c>
      <c r="R121" s="22">
        <f t="shared" si="6"/>
        <v>2.27534009296749E-2</v>
      </c>
      <c r="S121" s="26">
        <f t="shared" si="7"/>
        <v>1.0395220974907356E-2</v>
      </c>
      <c r="V121">
        <f t="shared" si="2"/>
        <v>4.7393364928909956E-3</v>
      </c>
      <c r="W121" s="25">
        <f t="shared" si="8"/>
        <v>5.8729336492890999E-2</v>
      </c>
      <c r="X121" s="17">
        <f t="shared" si="9"/>
        <v>7.7929146919431286E-2</v>
      </c>
      <c r="Y121" s="22">
        <f t="shared" si="10"/>
        <v>4.4501616113744084E-2</v>
      </c>
      <c r="Z121" s="22">
        <f t="shared" si="11"/>
        <v>0.15802729857819908</v>
      </c>
      <c r="AA121" s="26">
        <f t="shared" si="12"/>
        <v>7.2197061611374416E-2</v>
      </c>
    </row>
    <row r="122" spans="1:27" x14ac:dyDescent="0.35">
      <c r="A122" s="83" t="s">
        <v>208</v>
      </c>
      <c r="B122" s="84" t="s">
        <v>710</v>
      </c>
      <c r="C122" s="91" t="str">
        <f t="shared" si="13"/>
        <v>DGUS EQUITY</v>
      </c>
      <c r="D122" s="85">
        <v>0.50466562986003105</v>
      </c>
      <c r="E122" s="85">
        <v>0.49533437013996889</v>
      </c>
      <c r="F122" s="86">
        <f>_xlfn.XLOOKUP(Table22[[#This Row],[Ticker]],D!B:B,D!D:D,"not found")</f>
        <v>20910000000</v>
      </c>
      <c r="G122" s="87">
        <v>35.880369999999999</v>
      </c>
      <c r="H122" s="92">
        <v>45.69397</v>
      </c>
      <c r="I122" s="93">
        <v>17.548660000000002</v>
      </c>
      <c r="J122" s="93">
        <v>26.917400000000001</v>
      </c>
      <c r="K122" s="94">
        <v>4.356217</v>
      </c>
      <c r="N122" s="1">
        <f>D!E120</f>
        <v>2.3163547304716498E-3</v>
      </c>
      <c r="O122" s="25">
        <f t="shared" si="3"/>
        <v>8.3111664780573066E-2</v>
      </c>
      <c r="P122" s="17">
        <f t="shared" si="4"/>
        <v>0.10584344356352965</v>
      </c>
      <c r="Q122" s="22">
        <f t="shared" si="5"/>
        <v>4.0648921604438629E-2</v>
      </c>
      <c r="R122" s="22">
        <f t="shared" si="6"/>
        <v>6.2350246821997586E-2</v>
      </c>
      <c r="S122" s="26">
        <f t="shared" si="7"/>
        <v>1.0090543854911019E-2</v>
      </c>
      <c r="V122">
        <f t="shared" si="2"/>
        <v>4.7393364928909956E-3</v>
      </c>
      <c r="W122" s="25">
        <f t="shared" si="8"/>
        <v>0.17004914691943129</v>
      </c>
      <c r="X122" s="17">
        <f t="shared" si="9"/>
        <v>0.21655909952606636</v>
      </c>
      <c r="Y122" s="22">
        <f t="shared" si="10"/>
        <v>8.3169004739336513E-2</v>
      </c>
      <c r="Z122" s="22">
        <f t="shared" si="11"/>
        <v>0.1275706161137441</v>
      </c>
      <c r="AA122" s="26">
        <f t="shared" si="12"/>
        <v>2.0645578199052134E-2</v>
      </c>
    </row>
    <row r="123" spans="1:27" x14ac:dyDescent="0.35">
      <c r="A123" s="83" t="s">
        <v>154</v>
      </c>
      <c r="B123" s="84" t="s">
        <v>658</v>
      </c>
      <c r="C123" s="91" t="str">
        <f t="shared" si="13"/>
        <v>CTLTUS EQUITY</v>
      </c>
      <c r="D123" s="85">
        <v>0.80400214400571735</v>
      </c>
      <c r="E123" s="85">
        <v>0.19599785599428265</v>
      </c>
      <c r="F123" s="86">
        <f>_xlfn.XLOOKUP(Table22[[#This Row],[Ticker]],D!B:B,D!D:D,"not found")</f>
        <v>3120000000</v>
      </c>
      <c r="G123" s="87">
        <v>84.849019999999996</v>
      </c>
      <c r="H123" s="92">
        <v>80.564459999999997</v>
      </c>
      <c r="I123" s="93">
        <v>-24.099309999999999</v>
      </c>
      <c r="J123" s="93">
        <v>52.373869999999997</v>
      </c>
      <c r="K123" s="94">
        <v>7.7107549999999998</v>
      </c>
      <c r="N123" s="1">
        <f>D!E121</f>
        <v>3.4562538302589899E-4</v>
      </c>
      <c r="O123" s="25">
        <f t="shared" si="3"/>
        <v>2.9325975036872162E-2</v>
      </c>
      <c r="P123" s="17">
        <f t="shared" si="4"/>
        <v>2.7845122345774718E-2</v>
      </c>
      <c r="Q123" s="22">
        <f t="shared" si="5"/>
        <v>-8.3293332494098777E-3</v>
      </c>
      <c r="R123" s="22">
        <f t="shared" si="6"/>
        <v>1.810173887929864E-2</v>
      </c>
      <c r="S123" s="26">
        <f t="shared" si="7"/>
        <v>2.6650326502938655E-3</v>
      </c>
      <c r="V123">
        <f t="shared" si="2"/>
        <v>4.7393364928909956E-3</v>
      </c>
      <c r="W123" s="25">
        <f t="shared" si="8"/>
        <v>0.40212805687203795</v>
      </c>
      <c r="X123" s="17">
        <f t="shared" si="9"/>
        <v>0.38182208530805689</v>
      </c>
      <c r="Y123" s="22">
        <f t="shared" si="10"/>
        <v>-0.1142147393364929</v>
      </c>
      <c r="Z123" s="22">
        <f t="shared" si="11"/>
        <v>0.2482173933649289</v>
      </c>
      <c r="AA123" s="26">
        <f t="shared" si="12"/>
        <v>3.6543862559241705E-2</v>
      </c>
    </row>
    <row r="124" spans="1:27" x14ac:dyDescent="0.35">
      <c r="A124" s="83" t="s">
        <v>138</v>
      </c>
      <c r="B124" s="84" t="s">
        <v>642</v>
      </c>
      <c r="C124" s="91" t="str">
        <f t="shared" si="13"/>
        <v>BIOUS EQUITY</v>
      </c>
      <c r="D124" s="85">
        <v>0.70350000000000001</v>
      </c>
      <c r="E124" s="85">
        <v>0.29649999999999999</v>
      </c>
      <c r="F124" s="86">
        <f>_xlfn.XLOOKUP(Table22[[#This Row],[Ticker]],D!B:B,D!D:D,"not found")</f>
        <v>4070000000.0000005</v>
      </c>
      <c r="G124" s="87">
        <v>57.538580000000003</v>
      </c>
      <c r="H124" s="92">
        <v>59.344580000000001</v>
      </c>
      <c r="I124" s="93">
        <v>-2.7024569999999999</v>
      </c>
      <c r="J124" s="93">
        <v>30.935929999999999</v>
      </c>
      <c r="K124" s="94">
        <v>31.45823</v>
      </c>
      <c r="N124" s="1">
        <f>D!E122</f>
        <v>4.5086388106263108E-4</v>
      </c>
      <c r="O124" s="25">
        <f t="shared" si="3"/>
        <v>2.5942067489632684E-2</v>
      </c>
      <c r="P124" s="17">
        <f t="shared" si="4"/>
        <v>2.6756327658831795E-2</v>
      </c>
      <c r="Q124" s="22">
        <f t="shared" si="5"/>
        <v>-1.2184402514248747E-3</v>
      </c>
      <c r="R124" s="22">
        <f t="shared" si="6"/>
        <v>1.394789346408188E-2</v>
      </c>
      <c r="S124" s="26">
        <f t="shared" si="7"/>
        <v>1.4183379669160893E-2</v>
      </c>
      <c r="V124">
        <f t="shared" si="2"/>
        <v>4.7393364928909956E-3</v>
      </c>
      <c r="W124" s="25">
        <f t="shared" si="8"/>
        <v>0.27269469194312801</v>
      </c>
      <c r="X124" s="17">
        <f t="shared" si="9"/>
        <v>0.28125393364928913</v>
      </c>
      <c r="Y124" s="22">
        <f t="shared" si="10"/>
        <v>-1.2807853080568721E-2</v>
      </c>
      <c r="Z124" s="22">
        <f t="shared" si="11"/>
        <v>0.14661578199052133</v>
      </c>
      <c r="AA124" s="26">
        <f t="shared" si="12"/>
        <v>0.1490911374407583</v>
      </c>
    </row>
    <row r="125" spans="1:27" x14ac:dyDescent="0.35">
      <c r="A125" s="83" t="s">
        <v>232</v>
      </c>
      <c r="B125" s="84" t="s">
        <v>732</v>
      </c>
      <c r="C125" s="91" t="str">
        <f t="shared" si="13"/>
        <v>REUS EQUITY</v>
      </c>
      <c r="D125" s="85">
        <v>0.7934830230010953</v>
      </c>
      <c r="E125" s="85">
        <v>0.2065169769989047</v>
      </c>
      <c r="F125" s="86">
        <f>_xlfn.XLOOKUP(Table22[[#This Row],[Ticker]],D!B:B,D!D:D,"not found")</f>
        <v>7820000000</v>
      </c>
      <c r="G125" s="87">
        <v>-13.058</v>
      </c>
      <c r="H125" s="92">
        <v>30.162569999999999</v>
      </c>
      <c r="I125" s="93">
        <v>0.72944160000000002</v>
      </c>
      <c r="J125" s="93">
        <v>4.4317479999999998</v>
      </c>
      <c r="K125" s="94">
        <v>21.095929999999999</v>
      </c>
      <c r="N125" s="1">
        <f>D!E123</f>
        <v>8.6627900489183657E-4</v>
      </c>
      <c r="O125" s="25">
        <f t="shared" si="3"/>
        <v>-1.1311871245877602E-2</v>
      </c>
      <c r="P125" s="17">
        <f t="shared" si="4"/>
        <v>2.6129201124580361E-2</v>
      </c>
      <c r="Q125" s="22">
        <f t="shared" si="5"/>
        <v>6.3189994337470908E-4</v>
      </c>
      <c r="R125" s="22">
        <f t="shared" si="6"/>
        <v>3.8391302473713869E-3</v>
      </c>
      <c r="S125" s="26">
        <f t="shared" si="7"/>
        <v>1.827496124766784E-2</v>
      </c>
      <c r="V125">
        <f t="shared" si="2"/>
        <v>4.7393364928909956E-3</v>
      </c>
      <c r="W125" s="25">
        <f t="shared" si="8"/>
        <v>-6.1886255924170623E-2</v>
      </c>
      <c r="X125" s="17">
        <f t="shared" si="9"/>
        <v>0.14295056872037915</v>
      </c>
      <c r="Y125" s="22">
        <f t="shared" si="10"/>
        <v>3.4570691943127964E-3</v>
      </c>
      <c r="Z125" s="22">
        <f t="shared" si="11"/>
        <v>2.1003545023696682E-2</v>
      </c>
      <c r="AA125" s="26">
        <f t="shared" si="12"/>
        <v>9.9980710900473932E-2</v>
      </c>
    </row>
    <row r="126" spans="1:27" x14ac:dyDescent="0.35">
      <c r="A126" s="83" t="s">
        <v>167</v>
      </c>
      <c r="B126" s="84" t="s">
        <v>671</v>
      </c>
      <c r="C126" s="91" t="str">
        <f t="shared" si="13"/>
        <v>CHDUS EQUITY</v>
      </c>
      <c r="D126" s="85">
        <v>0.80512016718913271</v>
      </c>
      <c r="E126" s="85">
        <v>0.19487983281086729</v>
      </c>
      <c r="F126" s="86">
        <f>_xlfn.XLOOKUP(Table22[[#This Row],[Ticker]],D!B:B,D!D:D,"not found")</f>
        <v>11030000000</v>
      </c>
      <c r="G126" s="87">
        <v>25.474979999999999</v>
      </c>
      <c r="H126" s="92">
        <v>8.3564520000000009</v>
      </c>
      <c r="I126" s="93">
        <v>33.226199999999999</v>
      </c>
      <c r="J126" s="93">
        <v>15.31981</v>
      </c>
      <c r="K126" s="94">
        <v>5.728281</v>
      </c>
      <c r="N126" s="1">
        <f>D!E124</f>
        <v>1.2218743508896365E-3</v>
      </c>
      <c r="O126" s="25">
        <f t="shared" si="3"/>
        <v>3.112722465142647E-2</v>
      </c>
      <c r="P126" s="17">
        <f t="shared" si="4"/>
        <v>1.0210534363240407E-2</v>
      </c>
      <c r="Q126" s="22">
        <f t="shared" si="5"/>
        <v>4.0598241557529238E-2</v>
      </c>
      <c r="R126" s="22">
        <f t="shared" si="6"/>
        <v>1.8718882899502562E-2</v>
      </c>
      <c r="S126" s="26">
        <f t="shared" si="7"/>
        <v>6.9992396285884382E-3</v>
      </c>
      <c r="V126">
        <f t="shared" si="2"/>
        <v>4.7393364928909956E-3</v>
      </c>
      <c r="W126" s="25">
        <f t="shared" si="8"/>
        <v>0.12073450236966825</v>
      </c>
      <c r="X126" s="17">
        <f t="shared" si="9"/>
        <v>3.9604037914691949E-2</v>
      </c>
      <c r="Y126" s="22">
        <f t="shared" si="10"/>
        <v>0.15747014218009478</v>
      </c>
      <c r="Z126" s="22">
        <f t="shared" si="11"/>
        <v>7.2605734597156399E-2</v>
      </c>
      <c r="AA126" s="26">
        <f t="shared" si="12"/>
        <v>2.7148251184834125E-2</v>
      </c>
    </row>
    <row r="127" spans="1:27" x14ac:dyDescent="0.35">
      <c r="A127" s="83" t="s">
        <v>388</v>
      </c>
      <c r="B127" s="84" t="s">
        <v>884</v>
      </c>
      <c r="C127" s="91" t="str">
        <f t="shared" si="13"/>
        <v>PKIUS EQUITY</v>
      </c>
      <c r="D127" s="85">
        <v>0.95780937830532376</v>
      </c>
      <c r="E127" s="85">
        <v>4.2190621694676224E-2</v>
      </c>
      <c r="F127" s="86">
        <f>_xlfn.XLOOKUP(Table22[[#This Row],[Ticker]],D!B:B,D!D:D,"not found")</f>
        <v>6000000000</v>
      </c>
      <c r="G127" s="87">
        <v>48.194180000000003</v>
      </c>
      <c r="H127" s="92">
        <v>24.006070000000001</v>
      </c>
      <c r="I127" s="93">
        <v>7.8036070000000004</v>
      </c>
      <c r="J127" s="93">
        <v>40.849089999999997</v>
      </c>
      <c r="K127" s="94">
        <v>-2.119297</v>
      </c>
      <c r="N127" s="1">
        <f>D!E125</f>
        <v>6.6466419812672881E-4</v>
      </c>
      <c r="O127" s="25">
        <f t="shared" si="3"/>
        <v>3.2032946004075233E-2</v>
      </c>
      <c r="P127" s="17">
        <f t="shared" si="4"/>
        <v>1.5955975266724123E-2</v>
      </c>
      <c r="Q127" s="22">
        <f t="shared" si="5"/>
        <v>5.1867781891511283E-3</v>
      </c>
      <c r="R127" s="22">
        <f t="shared" si="6"/>
        <v>2.7150927649056574E-2</v>
      </c>
      <c r="S127" s="26">
        <f t="shared" si="7"/>
        <v>-1.408620841097382E-3</v>
      </c>
      <c r="V127">
        <f t="shared" si="2"/>
        <v>4.7393364928909956E-3</v>
      </c>
      <c r="W127" s="25">
        <f t="shared" si="8"/>
        <v>0.22840843601895738</v>
      </c>
      <c r="X127" s="17">
        <f t="shared" si="9"/>
        <v>0.11377284360189575</v>
      </c>
      <c r="Y127" s="22">
        <f t="shared" si="10"/>
        <v>3.6983919431279627E-2</v>
      </c>
      <c r="Z127" s="22">
        <f t="shared" si="11"/>
        <v>0.19359758293838863</v>
      </c>
      <c r="AA127" s="26">
        <f t="shared" si="12"/>
        <v>-1.0044061611374408E-2</v>
      </c>
    </row>
    <row r="128" spans="1:27" x14ac:dyDescent="0.35">
      <c r="A128" s="83" t="s">
        <v>17</v>
      </c>
      <c r="B128" s="84" t="s">
        <v>528</v>
      </c>
      <c r="C128" s="91" t="str">
        <f t="shared" si="13"/>
        <v>MXIMUS EQUITY</v>
      </c>
      <c r="D128" s="85">
        <v>0.93193628077349011</v>
      </c>
      <c r="E128" s="85">
        <v>6.8063719226509931E-2</v>
      </c>
      <c r="F128" s="86">
        <f>_xlfn.XLOOKUP(Table22[[#This Row],[Ticker]],D!B:B,D!D:D,"not found")</f>
        <v>10800000000</v>
      </c>
      <c r="G128" s="87">
        <v>47.537140000000001</v>
      </c>
      <c r="H128" s="92">
        <v>25.224969999999999</v>
      </c>
      <c r="I128" s="93">
        <v>0.17699000000000001</v>
      </c>
      <c r="J128" s="93">
        <v>39.563879999999997</v>
      </c>
      <c r="K128" s="94">
        <v>4.987717</v>
      </c>
      <c r="N128" s="1">
        <f>D!E126</f>
        <v>1.1963955566281119E-3</v>
      </c>
      <c r="O128" s="25">
        <f t="shared" si="3"/>
        <v>5.6873223070808485E-2</v>
      </c>
      <c r="P128" s="17">
        <f t="shared" si="4"/>
        <v>3.0179042024077424E-2</v>
      </c>
      <c r="Q128" s="22">
        <f t="shared" si="5"/>
        <v>2.1175004956760954E-4</v>
      </c>
      <c r="R128" s="22">
        <f t="shared" si="6"/>
        <v>4.7334050234967819E-2</v>
      </c>
      <c r="S128" s="26">
        <f t="shared" si="7"/>
        <v>5.9672824565184966E-3</v>
      </c>
      <c r="V128">
        <f t="shared" si="2"/>
        <v>4.7393364928909956E-3</v>
      </c>
      <c r="W128" s="25">
        <f t="shared" si="8"/>
        <v>0.22529450236966828</v>
      </c>
      <c r="X128" s="17">
        <f t="shared" si="9"/>
        <v>0.11954962085308057</v>
      </c>
      <c r="Y128" s="22">
        <f t="shared" si="10"/>
        <v>8.388151658767774E-4</v>
      </c>
      <c r="Z128" s="22">
        <f t="shared" si="11"/>
        <v>0.1875065402843602</v>
      </c>
      <c r="AA128" s="26">
        <f t="shared" si="12"/>
        <v>2.3638469194312797E-2</v>
      </c>
    </row>
    <row r="129" spans="1:27" x14ac:dyDescent="0.35">
      <c r="A129" s="83" t="s">
        <v>18</v>
      </c>
      <c r="B129" s="84" t="s">
        <v>529</v>
      </c>
      <c r="C129" s="91" t="str">
        <f t="shared" si="13"/>
        <v>MKCUS EQUITY</v>
      </c>
      <c r="D129" s="85">
        <v>0.75624786032180757</v>
      </c>
      <c r="E129" s="85">
        <v>0.2437521396781924</v>
      </c>
      <c r="F129" s="86">
        <f>_xlfn.XLOOKUP(Table22[[#This Row],[Ticker]],D!B:B,D!D:D,"not found")</f>
        <v>10880000000</v>
      </c>
      <c r="G129" s="87">
        <v>14.262499999999999</v>
      </c>
      <c r="H129" s="92">
        <v>23.649439999999998</v>
      </c>
      <c r="I129" s="93">
        <v>39.006239999999998</v>
      </c>
      <c r="J129" s="93">
        <v>11.335699999999999</v>
      </c>
      <c r="K129" s="94">
        <v>11.05428</v>
      </c>
      <c r="N129" s="1">
        <f>D!E127</f>
        <v>1.2052577459364684E-3</v>
      </c>
      <c r="O129" s="25">
        <f t="shared" si="3"/>
        <v>1.718998860141888E-2</v>
      </c>
      <c r="P129" s="17">
        <f t="shared" si="4"/>
        <v>2.8503670747059749E-2</v>
      </c>
      <c r="Q129" s="22">
        <f t="shared" si="5"/>
        <v>4.7012572899856907E-2</v>
      </c>
      <c r="R129" s="22">
        <f t="shared" si="6"/>
        <v>1.3662440230612024E-2</v>
      </c>
      <c r="S129" s="26">
        <f t="shared" si="7"/>
        <v>1.3323256595750585E-2</v>
      </c>
      <c r="V129">
        <f t="shared" si="2"/>
        <v>4.7393364928909956E-3</v>
      </c>
      <c r="W129" s="25">
        <f t="shared" si="8"/>
        <v>6.7594786729857817E-2</v>
      </c>
      <c r="X129" s="17">
        <f t="shared" si="9"/>
        <v>0.11208265402843602</v>
      </c>
      <c r="Y129" s="22">
        <f t="shared" si="10"/>
        <v>0.18486369668246447</v>
      </c>
      <c r="Z129" s="22">
        <f t="shared" si="11"/>
        <v>5.3723696682464454E-2</v>
      </c>
      <c r="AA129" s="26">
        <f t="shared" si="12"/>
        <v>5.2389952606635079E-2</v>
      </c>
    </row>
    <row r="130" spans="1:27" x14ac:dyDescent="0.35">
      <c r="A130" s="83" t="s">
        <v>510</v>
      </c>
      <c r="B130" s="84" t="s">
        <v>992</v>
      </c>
      <c r="C130" s="91" t="str">
        <f t="shared" si="13"/>
        <v>XYLUS EQUITY</v>
      </c>
      <c r="D130" s="85">
        <v>0.98617675911887992</v>
      </c>
      <c r="E130" s="85">
        <v>1.3823240881120129E-2</v>
      </c>
      <c r="F130" s="86">
        <f>_xlfn.XLOOKUP(Table22[[#This Row],[Ticker]],D!B:B,D!D:D,"not found")</f>
        <v>6510000000</v>
      </c>
      <c r="G130" s="87">
        <v>30.89113</v>
      </c>
      <c r="H130" s="92">
        <v>19.58578</v>
      </c>
      <c r="I130" s="93">
        <v>-1.017088</v>
      </c>
      <c r="J130" s="93">
        <v>39.500810000000001</v>
      </c>
      <c r="K130" s="94">
        <v>37.577249999999999</v>
      </c>
      <c r="N130" s="1">
        <f>D!E128</f>
        <v>7.2116065496750079E-4</v>
      </c>
      <c r="O130" s="25">
        <f t="shared" si="3"/>
        <v>2.2277467543486213E-2</v>
      </c>
      <c r="P130" s="17">
        <f t="shared" si="4"/>
        <v>1.4124493932849378E-2</v>
      </c>
      <c r="Q130" s="22">
        <f t="shared" si="5"/>
        <v>-7.3348384823958539E-4</v>
      </c>
      <c r="R130" s="22">
        <f t="shared" si="6"/>
        <v>2.8486430011346806E-2</v>
      </c>
      <c r="S130" s="26">
        <f t="shared" si="7"/>
        <v>2.709923422187752E-2</v>
      </c>
      <c r="V130">
        <f t="shared" si="2"/>
        <v>4.7393364928909956E-3</v>
      </c>
      <c r="W130" s="25">
        <f t="shared" si="8"/>
        <v>0.14640345971563981</v>
      </c>
      <c r="X130" s="17">
        <f t="shared" si="9"/>
        <v>9.2823601895734603E-2</v>
      </c>
      <c r="Y130" s="22">
        <f t="shared" si="10"/>
        <v>-4.820322274881517E-3</v>
      </c>
      <c r="Z130" s="22">
        <f t="shared" si="11"/>
        <v>0.18720763033175358</v>
      </c>
      <c r="AA130" s="26">
        <f t="shared" si="12"/>
        <v>0.17809123222748816</v>
      </c>
    </row>
    <row r="131" spans="1:27" x14ac:dyDescent="0.35">
      <c r="A131" s="83" t="s">
        <v>19</v>
      </c>
      <c r="B131" s="84" t="s">
        <v>530</v>
      </c>
      <c r="C131" s="91" t="str">
        <f t="shared" si="13"/>
        <v>DOVUS EQUITY</v>
      </c>
      <c r="D131" s="85">
        <v>0.54610584700716436</v>
      </c>
      <c r="E131" s="85">
        <v>0.4538941529928357</v>
      </c>
      <c r="F131" s="86">
        <f>_xlfn.XLOOKUP(Table22[[#This Row],[Ticker]],D!B:B,D!D:D,"not found")</f>
        <v>9500000000</v>
      </c>
      <c r="G131" s="87">
        <v>11.53612</v>
      </c>
      <c r="H131" s="92">
        <v>65.773300000000006</v>
      </c>
      <c r="I131" s="93">
        <v>-11.041</v>
      </c>
      <c r="J131" s="93">
        <v>37.67803</v>
      </c>
      <c r="K131" s="94">
        <v>25.35229</v>
      </c>
      <c r="N131" s="1">
        <f>D!E129</f>
        <v>1.0523849803673207E-3</v>
      </c>
      <c r="O131" s="25">
        <f t="shared" si="3"/>
        <v>1.2140439419715056E-2</v>
      </c>
      <c r="P131" s="17">
        <f t="shared" si="4"/>
        <v>6.9218833029193905E-2</v>
      </c>
      <c r="Q131" s="22">
        <f t="shared" si="5"/>
        <v>-1.1619382568235588E-2</v>
      </c>
      <c r="R131" s="22">
        <f t="shared" si="6"/>
        <v>3.9651792861829321E-2</v>
      </c>
      <c r="S131" s="26">
        <f t="shared" si="7"/>
        <v>2.6680369213916619E-2</v>
      </c>
      <c r="V131">
        <f t="shared" si="2"/>
        <v>4.7393364928909956E-3</v>
      </c>
      <c r="W131" s="25">
        <f t="shared" si="8"/>
        <v>5.4673554502369673E-2</v>
      </c>
      <c r="X131" s="17">
        <f t="shared" si="9"/>
        <v>0.31172180094786733</v>
      </c>
      <c r="Y131" s="22">
        <f t="shared" si="10"/>
        <v>-5.2327014218009484E-2</v>
      </c>
      <c r="Z131" s="22">
        <f t="shared" si="11"/>
        <v>0.17856886255924173</v>
      </c>
      <c r="AA131" s="26">
        <f t="shared" si="12"/>
        <v>0.12015303317535546</v>
      </c>
    </row>
    <row r="132" spans="1:27" x14ac:dyDescent="0.35">
      <c r="A132" s="83" t="s">
        <v>310</v>
      </c>
      <c r="B132" s="84" t="s">
        <v>807</v>
      </c>
      <c r="C132" s="91" t="str">
        <f t="shared" si="13"/>
        <v>KEYSUS EQUITY</v>
      </c>
      <c r="D132" s="85">
        <v>0.65699566160520606</v>
      </c>
      <c r="E132" s="85">
        <v>0.34300433839479394</v>
      </c>
      <c r="F132" s="86">
        <f>_xlfn.XLOOKUP(Table22[[#This Row],[Ticker]],D!B:B,D!D:D,"not found")</f>
        <v>4840000000</v>
      </c>
      <c r="G132" s="87">
        <v>28.70505</v>
      </c>
      <c r="H132" s="92">
        <v>65.318950000000001</v>
      </c>
      <c r="I132" s="93">
        <v>49.23075</v>
      </c>
      <c r="J132" s="93">
        <v>13.75446</v>
      </c>
      <c r="K132" s="94">
        <v>29.085789999999999</v>
      </c>
      <c r="N132" s="1">
        <f>D!E130</f>
        <v>5.3616245315556122E-4</v>
      </c>
      <c r="O132" s="25">
        <f t="shared" si="3"/>
        <v>1.5390570025953043E-2</v>
      </c>
      <c r="P132" s="17">
        <f t="shared" si="4"/>
        <v>3.5021568469545447E-2</v>
      </c>
      <c r="Q132" s="22">
        <f t="shared" si="5"/>
        <v>2.6395679690688147E-2</v>
      </c>
      <c r="R132" s="22">
        <f t="shared" si="6"/>
        <v>7.3746250154300402E-3</v>
      </c>
      <c r="S132" s="26">
        <f t="shared" si="7"/>
        <v>1.559470851836749E-2</v>
      </c>
      <c r="V132">
        <f t="shared" si="2"/>
        <v>4.7393364928909956E-3</v>
      </c>
      <c r="W132" s="25">
        <f t="shared" si="8"/>
        <v>0.13604289099526068</v>
      </c>
      <c r="X132" s="17">
        <f t="shared" si="9"/>
        <v>0.30956848341232229</v>
      </c>
      <c r="Y132" s="22">
        <f t="shared" si="10"/>
        <v>0.23332109004739338</v>
      </c>
      <c r="Z132" s="22">
        <f t="shared" si="11"/>
        <v>6.5187014218009487E-2</v>
      </c>
      <c r="AA132" s="26">
        <f t="shared" si="12"/>
        <v>0.13784734597156398</v>
      </c>
    </row>
    <row r="133" spans="1:27" x14ac:dyDescent="0.35">
      <c r="A133" s="83" t="s">
        <v>164</v>
      </c>
      <c r="B133" s="84" t="s">
        <v>668</v>
      </c>
      <c r="C133" s="91" t="str">
        <f t="shared" si="13"/>
        <v>CMGUS EQUITY</v>
      </c>
      <c r="D133" s="85">
        <v>0.60594233302434508</v>
      </c>
      <c r="E133" s="85">
        <v>0.39405766697565497</v>
      </c>
      <c r="F133" s="86">
        <f>_xlfn.XLOOKUP(Table22[[#This Row],[Ticker]],D!B:B,D!D:D,"not found")</f>
        <v>14680000000</v>
      </c>
      <c r="G133" s="87">
        <v>65.654430000000005</v>
      </c>
      <c r="H133" s="92">
        <v>93.869690000000006</v>
      </c>
      <c r="I133" s="93">
        <v>49.392800000000001</v>
      </c>
      <c r="J133" s="93">
        <v>-23.399249999999999</v>
      </c>
      <c r="K133" s="94">
        <v>-21.367100000000001</v>
      </c>
      <c r="N133" s="1">
        <f>D!E131</f>
        <v>1.6262117380833965E-3</v>
      </c>
      <c r="O133" s="25">
        <f t="shared" si="3"/>
        <v>0.1067680047231747</v>
      </c>
      <c r="P133" s="17">
        <f t="shared" si="4"/>
        <v>0.15265199172824964</v>
      </c>
      <c r="Q133" s="22">
        <f t="shared" si="5"/>
        <v>8.032315113680559E-2</v>
      </c>
      <c r="R133" s="22">
        <f t="shared" si="6"/>
        <v>-3.8052135012347915E-2</v>
      </c>
      <c r="S133" s="26">
        <f t="shared" si="7"/>
        <v>-3.4747428828801739E-2</v>
      </c>
      <c r="V133">
        <f t="shared" ref="V133:V196" si="14">1/211</f>
        <v>4.7393364928909956E-3</v>
      </c>
      <c r="W133" s="25">
        <f t="shared" si="8"/>
        <v>0.31115843601895737</v>
      </c>
      <c r="X133" s="17">
        <f t="shared" si="9"/>
        <v>0.44488004739336501</v>
      </c>
      <c r="Y133" s="22">
        <f t="shared" si="10"/>
        <v>0.23408909952606638</v>
      </c>
      <c r="Z133" s="22">
        <f t="shared" si="11"/>
        <v>-0.11089691943127962</v>
      </c>
      <c r="AA133" s="26">
        <f t="shared" si="12"/>
        <v>-0.1012658767772512</v>
      </c>
    </row>
    <row r="134" spans="1:27" x14ac:dyDescent="0.35">
      <c r="A134" s="83" t="s">
        <v>237</v>
      </c>
      <c r="B134" s="84" t="s">
        <v>737</v>
      </c>
      <c r="C134" s="91" t="str">
        <f t="shared" si="13"/>
        <v>EXRUS EQUITY</v>
      </c>
      <c r="D134" s="85">
        <v>0.78889059855362365</v>
      </c>
      <c r="E134" s="85">
        <v>0.21110940144637635</v>
      </c>
      <c r="F134" s="86">
        <f>_xlfn.XLOOKUP(Table22[[#This Row],[Ticker]],D!B:B,D!D:D,"not found")</f>
        <v>10950000000</v>
      </c>
      <c r="G134" s="87">
        <v>13.573779999999999</v>
      </c>
      <c r="H134" s="92">
        <v>20.689820000000001</v>
      </c>
      <c r="I134" s="93">
        <v>7.2669740000000003</v>
      </c>
      <c r="J134" s="93">
        <v>17.813310000000001</v>
      </c>
      <c r="K134" s="94">
        <v>-9.1795629999999999</v>
      </c>
      <c r="N134" s="1">
        <f>D!E132</f>
        <v>1.2130121615812801E-3</v>
      </c>
      <c r="O134" s="25">
        <f t="shared" si="3"/>
        <v>1.6465160218628747E-2</v>
      </c>
      <c r="P134" s="17">
        <f t="shared" si="4"/>
        <v>2.5097003280927604E-2</v>
      </c>
      <c r="Q134" s="22">
        <f t="shared" si="5"/>
        <v>8.8149278398949611E-3</v>
      </c>
      <c r="R134" s="22">
        <f t="shared" si="6"/>
        <v>2.1607761668017436E-2</v>
      </c>
      <c r="S134" s="26">
        <f t="shared" si="7"/>
        <v>-1.1134921557001541E-2</v>
      </c>
      <c r="V134">
        <f t="shared" si="14"/>
        <v>4.7393364928909956E-3</v>
      </c>
      <c r="W134" s="25">
        <f t="shared" si="8"/>
        <v>6.4330710900473931E-2</v>
      </c>
      <c r="X134" s="17">
        <f t="shared" si="9"/>
        <v>9.8056018957345989E-2</v>
      </c>
      <c r="Y134" s="22">
        <f t="shared" si="10"/>
        <v>3.4440635071090055E-2</v>
      </c>
      <c r="Z134" s="22">
        <f t="shared" si="11"/>
        <v>8.442327014218011E-2</v>
      </c>
      <c r="AA134" s="26">
        <f t="shared" si="12"/>
        <v>-4.3505037914691944E-2</v>
      </c>
    </row>
    <row r="135" spans="1:27" x14ac:dyDescent="0.35">
      <c r="A135" s="83" t="s">
        <v>21</v>
      </c>
      <c r="B135" s="84" t="s">
        <v>532</v>
      </c>
      <c r="C135" s="91" t="str">
        <f t="shared" si="13"/>
        <v>EXPDUS EQUITY</v>
      </c>
      <c r="D135" s="85">
        <v>0.85014137606032048</v>
      </c>
      <c r="E135" s="85">
        <v>0.14985862393967955</v>
      </c>
      <c r="F135" s="86">
        <f>_xlfn.XLOOKUP(Table22[[#This Row],[Ticker]],D!B:B,D!D:D,"not found")</f>
        <v>8210000000.000001</v>
      </c>
      <c r="G135" s="87">
        <v>23.448830000000001</v>
      </c>
      <c r="H135" s="92">
        <v>16.17878</v>
      </c>
      <c r="I135" s="93">
        <v>6.5180059999999997</v>
      </c>
      <c r="J135" s="93">
        <v>23.913150000000002</v>
      </c>
      <c r="K135" s="94">
        <v>19.290790000000001</v>
      </c>
      <c r="N135" s="1">
        <f>D!E133</f>
        <v>9.0948217777007403E-4</v>
      </c>
      <c r="O135" s="25">
        <f t="shared" si="3"/>
        <v>2.1326292974560245E-2</v>
      </c>
      <c r="P135" s="17">
        <f t="shared" si="4"/>
        <v>1.4714312068062918E-2</v>
      </c>
      <c r="Q135" s="22">
        <f t="shared" si="5"/>
        <v>5.9280102915984087E-3</v>
      </c>
      <c r="R135" s="22">
        <f t="shared" si="6"/>
        <v>2.1748583739342447E-2</v>
      </c>
      <c r="S135" s="26">
        <f t="shared" si="7"/>
        <v>1.7544629700105167E-2</v>
      </c>
      <c r="V135">
        <f t="shared" si="14"/>
        <v>4.7393364928909956E-3</v>
      </c>
      <c r="W135" s="25">
        <f t="shared" si="8"/>
        <v>0.11113189573459717</v>
      </c>
      <c r="X135" s="17">
        <f t="shared" si="9"/>
        <v>7.6676682464454984E-2</v>
      </c>
      <c r="Y135" s="22">
        <f t="shared" si="10"/>
        <v>3.0891023696682465E-2</v>
      </c>
      <c r="Z135" s="22">
        <f t="shared" si="11"/>
        <v>0.11333246445497631</v>
      </c>
      <c r="AA135" s="26">
        <f t="shared" si="12"/>
        <v>9.1425545023696694E-2</v>
      </c>
    </row>
    <row r="136" spans="1:27" x14ac:dyDescent="0.35">
      <c r="A136" s="83" t="s">
        <v>128</v>
      </c>
      <c r="B136" s="84" t="s">
        <v>632</v>
      </c>
      <c r="C136" s="91" t="str">
        <f t="shared" si="13"/>
        <v>AVYUS EQUITY</v>
      </c>
      <c r="D136" s="85">
        <v>0.99013878743608474</v>
      </c>
      <c r="E136" s="85">
        <v>9.8612125639152663E-3</v>
      </c>
      <c r="F136" s="86">
        <f>_xlfn.XLOOKUP(Table22[[#This Row],[Ticker]],D!B:B,D!D:D,"not found")</f>
        <v>5710000000</v>
      </c>
      <c r="G136" s="87">
        <v>20.830400000000001</v>
      </c>
      <c r="H136" s="92">
        <v>48.53792</v>
      </c>
      <c r="I136" s="93">
        <v>-20.268699999999999</v>
      </c>
      <c r="J136" s="93">
        <v>66.724930000000001</v>
      </c>
      <c r="K136" s="94">
        <v>14.557589999999999</v>
      </c>
      <c r="N136" s="1">
        <f>D!E134</f>
        <v>6.3253876188393689E-4</v>
      </c>
      <c r="O136" s="25">
        <f t="shared" si="3"/>
        <v>1.3176035425547159E-2</v>
      </c>
      <c r="P136" s="17">
        <f t="shared" si="4"/>
        <v>3.0702115821221579E-2</v>
      </c>
      <c r="Q136" s="22">
        <f t="shared" si="5"/>
        <v>-1.2820738402996952E-2</v>
      </c>
      <c r="R136" s="22">
        <f t="shared" si="6"/>
        <v>4.2206104608992358E-2</v>
      </c>
      <c r="S136" s="26">
        <f t="shared" si="7"/>
        <v>9.2082399546139799E-3</v>
      </c>
      <c r="V136">
        <f t="shared" si="14"/>
        <v>4.7393364928909956E-3</v>
      </c>
      <c r="W136" s="25">
        <f t="shared" si="8"/>
        <v>9.8722274881516595E-2</v>
      </c>
      <c r="X136" s="17">
        <f t="shared" si="9"/>
        <v>0.23003753554502371</v>
      </c>
      <c r="Y136" s="22">
        <f t="shared" si="10"/>
        <v>-9.6060189573459714E-2</v>
      </c>
      <c r="Z136" s="22">
        <f t="shared" si="11"/>
        <v>0.3162318957345972</v>
      </c>
      <c r="AA136" s="26">
        <f t="shared" si="12"/>
        <v>6.8993317535545023E-2</v>
      </c>
    </row>
    <row r="137" spans="1:27" x14ac:dyDescent="0.35">
      <c r="A137" s="83" t="s">
        <v>252</v>
      </c>
      <c r="B137" s="84" t="s">
        <v>750</v>
      </c>
      <c r="C137" s="91" t="str">
        <f t="shared" si="13"/>
        <v>FTNTUS EQUITY</v>
      </c>
      <c r="D137" s="85">
        <v>0.61659090909090908</v>
      </c>
      <c r="E137" s="85">
        <v>0.38340909090909092</v>
      </c>
      <c r="F137" s="86">
        <f>_xlfn.XLOOKUP(Table22[[#This Row],[Ticker]],D!B:B,D!D:D,"not found")</f>
        <v>5340000000</v>
      </c>
      <c r="G137" s="87">
        <v>39.125129999999999</v>
      </c>
      <c r="H137" s="92">
        <v>51.583109999999998</v>
      </c>
      <c r="I137" s="93">
        <v>61.20393</v>
      </c>
      <c r="J137" s="93">
        <v>45.05312</v>
      </c>
      <c r="K137" s="94">
        <v>-3.3686219999999998</v>
      </c>
      <c r="N137" s="1">
        <f>D!E135</f>
        <v>5.9155113633278865E-4</v>
      </c>
      <c r="O137" s="25">
        <f t="shared" si="3"/>
        <v>2.314451511066808E-2</v>
      </c>
      <c r="P137" s="17">
        <f t="shared" si="4"/>
        <v>3.0514047336079233E-2</v>
      </c>
      <c r="Q137" s="22">
        <f t="shared" si="5"/>
        <v>3.620525433953245E-2</v>
      </c>
      <c r="R137" s="22">
        <f t="shared" si="6"/>
        <v>2.6651224331337486E-2</v>
      </c>
      <c r="S137" s="26">
        <f t="shared" si="7"/>
        <v>-1.992712171975631E-3</v>
      </c>
      <c r="V137">
        <f t="shared" si="14"/>
        <v>4.7393364928909956E-3</v>
      </c>
      <c r="W137" s="25">
        <f t="shared" si="8"/>
        <v>0.18542715639810428</v>
      </c>
      <c r="X137" s="17">
        <f t="shared" si="9"/>
        <v>0.24446971563981043</v>
      </c>
      <c r="Y137" s="22">
        <f t="shared" si="10"/>
        <v>0.29006601895734602</v>
      </c>
      <c r="Z137" s="22">
        <f t="shared" si="11"/>
        <v>0.21352189573459718</v>
      </c>
      <c r="AA137" s="26">
        <f t="shared" si="12"/>
        <v>-1.5965033175355449E-2</v>
      </c>
    </row>
    <row r="138" spans="1:27" x14ac:dyDescent="0.35">
      <c r="A138" s="83" t="s">
        <v>285</v>
      </c>
      <c r="B138" s="84" t="s">
        <v>782</v>
      </c>
      <c r="C138" s="91" t="str">
        <f t="shared" si="13"/>
        <v>IDXXUS EQUITY</v>
      </c>
      <c r="D138" s="85">
        <v>0.58712039629549861</v>
      </c>
      <c r="E138" s="85">
        <v>0.41287960370450139</v>
      </c>
      <c r="F138" s="86">
        <f>_xlfn.XLOOKUP(Table22[[#This Row],[Ticker]],D!B:B,D!D:D,"not found")</f>
        <v>6560000000</v>
      </c>
      <c r="G138" s="87">
        <v>91.425740000000005</v>
      </c>
      <c r="H138" s="92">
        <v>40.377389999999998</v>
      </c>
      <c r="I138" s="93">
        <v>18.953849999999999</v>
      </c>
      <c r="J138" s="93">
        <v>33.350369999999998</v>
      </c>
      <c r="K138" s="94">
        <v>60.820079999999997</v>
      </c>
      <c r="N138" s="1">
        <f>D!E136</f>
        <v>7.2669952328522345E-4</v>
      </c>
      <c r="O138" s="25">
        <f t="shared" si="3"/>
        <v>6.6439041673998792E-2</v>
      </c>
      <c r="P138" s="17">
        <f t="shared" si="4"/>
        <v>2.9342230064501547E-2</v>
      </c>
      <c r="Q138" s="22">
        <f t="shared" si="5"/>
        <v>1.3773753759419633E-2</v>
      </c>
      <c r="R138" s="22">
        <f t="shared" si="6"/>
        <v>2.4235697980385815E-2</v>
      </c>
      <c r="S138" s="26">
        <f t="shared" si="7"/>
        <v>4.4197923142169152E-2</v>
      </c>
      <c r="V138">
        <f t="shared" si="14"/>
        <v>4.7393364928909956E-3</v>
      </c>
      <c r="W138" s="25">
        <f t="shared" si="8"/>
        <v>0.43329734597156405</v>
      </c>
      <c r="X138" s="17">
        <f t="shared" si="9"/>
        <v>0.19136203791469195</v>
      </c>
      <c r="Y138" s="22">
        <f t="shared" si="10"/>
        <v>8.9828672985781996E-2</v>
      </c>
      <c r="Z138" s="22">
        <f t="shared" si="11"/>
        <v>0.15805862559241707</v>
      </c>
      <c r="AA138" s="26">
        <f t="shared" si="12"/>
        <v>0.28824682464454976</v>
      </c>
    </row>
    <row r="139" spans="1:27" x14ac:dyDescent="0.35">
      <c r="A139" s="83" t="s">
        <v>269</v>
      </c>
      <c r="B139" s="84" t="s">
        <v>767</v>
      </c>
      <c r="C139" s="91" t="str">
        <f t="shared" si="13"/>
        <v>PEAKUS EQUITY</v>
      </c>
      <c r="D139" s="85">
        <v>0.69913946661983495</v>
      </c>
      <c r="E139" s="85">
        <v>0.30086053338016511</v>
      </c>
      <c r="F139" s="86">
        <f>_xlfn.XLOOKUP(Table22[[#This Row],[Ticker]],D!B:B,D!D:D,"not found")</f>
        <v>17800000000</v>
      </c>
      <c r="G139" s="87">
        <v>-7.6707599999999996</v>
      </c>
      <c r="H139" s="92">
        <v>29.112410000000001</v>
      </c>
      <c r="I139" s="93">
        <v>13.68378</v>
      </c>
      <c r="J139" s="93">
        <v>-7.7477809999999998</v>
      </c>
      <c r="K139" s="94">
        <v>-9.3679539999999992</v>
      </c>
      <c r="N139" s="1">
        <f>D!E137</f>
        <v>1.9718371211092955E-3</v>
      </c>
      <c r="O139" s="25">
        <f t="shared" si="3"/>
        <v>-1.5125489315120338E-2</v>
      </c>
      <c r="P139" s="17">
        <f t="shared" si="4"/>
        <v>5.7404930722953468E-2</v>
      </c>
      <c r="Q139" s="22">
        <f t="shared" si="5"/>
        <v>2.6982185361092956E-2</v>
      </c>
      <c r="R139" s="22">
        <f t="shared" si="6"/>
        <v>-1.5277362182025299E-2</v>
      </c>
      <c r="S139" s="26">
        <f t="shared" si="7"/>
        <v>-1.8472079446044308E-2</v>
      </c>
      <c r="V139">
        <f t="shared" si="14"/>
        <v>4.7393364928909956E-3</v>
      </c>
      <c r="W139" s="25">
        <f t="shared" si="8"/>
        <v>-3.6354312796208529E-2</v>
      </c>
      <c r="X139" s="17">
        <f t="shared" si="9"/>
        <v>0.13797350710900474</v>
      </c>
      <c r="Y139" s="22">
        <f t="shared" si="10"/>
        <v>6.4852037914691948E-2</v>
      </c>
      <c r="Z139" s="22">
        <f t="shared" si="11"/>
        <v>-3.671934123222749E-2</v>
      </c>
      <c r="AA139" s="26">
        <f t="shared" si="12"/>
        <v>-4.4397886255924168E-2</v>
      </c>
    </row>
    <row r="140" spans="1:27" x14ac:dyDescent="0.35">
      <c r="A140" s="83" t="s">
        <v>463</v>
      </c>
      <c r="B140" s="84" t="s">
        <v>951</v>
      </c>
      <c r="C140" s="91" t="str">
        <f t="shared" si="13"/>
        <v>TYLUS EQUITY</v>
      </c>
      <c r="D140" s="85">
        <v>0.5893305439330544</v>
      </c>
      <c r="E140" s="85">
        <v>0.4106694560669456</v>
      </c>
      <c r="F140" s="86">
        <f>_xlfn.XLOOKUP(Table22[[#This Row],[Ticker]],D!B:B,D!D:D,"not found")</f>
        <v>6410000000</v>
      </c>
      <c r="G140" s="87">
        <v>45.496989999999997</v>
      </c>
      <c r="H140" s="92">
        <v>61.457320000000003</v>
      </c>
      <c r="I140" s="93">
        <v>4.9534200000000004</v>
      </c>
      <c r="J140" s="93">
        <v>24.010660000000001</v>
      </c>
      <c r="K140" s="94">
        <v>-18.0989</v>
      </c>
      <c r="N140" s="1">
        <f>D!E138</f>
        <v>7.1008291833205527E-4</v>
      </c>
      <c r="O140" s="25">
        <f t="shared" ref="O140:O171" si="15">N140*G140</f>
        <v>3.2306635434524333E-2</v>
      </c>
      <c r="P140" s="17">
        <f t="shared" ref="P140:P171" si="16">N140*H140</f>
        <v>4.3639793138466991E-2</v>
      </c>
      <c r="Q140" s="22">
        <f t="shared" ref="Q140:Q171" si="17">N140*I140</f>
        <v>3.5173389293243693E-3</v>
      </c>
      <c r="R140" s="22">
        <f t="shared" ref="R140:R171" si="18">N140*J140</f>
        <v>1.7049559523878748E-2</v>
      </c>
      <c r="S140" s="26">
        <f t="shared" ref="S140:S171" si="19">N140*K140</f>
        <v>-1.2851719730600035E-2</v>
      </c>
      <c r="V140">
        <f t="shared" si="14"/>
        <v>4.7393364928909956E-3</v>
      </c>
      <c r="W140" s="25">
        <f t="shared" ref="W140:W171" si="20">V140*G140</f>
        <v>0.21562554502369669</v>
      </c>
      <c r="X140" s="17">
        <f t="shared" ref="X140:X171" si="21">V140*H140</f>
        <v>0.29126691943127964</v>
      </c>
      <c r="Y140" s="22">
        <f t="shared" ref="Y140:Y171" si="22">V140*I140</f>
        <v>2.3475924170616117E-2</v>
      </c>
      <c r="Z140" s="22">
        <f t="shared" ref="Z140:Z171" si="23">V140*J140</f>
        <v>0.11379459715639811</v>
      </c>
      <c r="AA140" s="26">
        <f t="shared" ref="AA140:AA171" si="24">V140*K140</f>
        <v>-8.5776777251184849E-2</v>
      </c>
    </row>
    <row r="141" spans="1:27" x14ac:dyDescent="0.35">
      <c r="A141" s="83" t="s">
        <v>242</v>
      </c>
      <c r="B141" s="84" t="s">
        <v>742</v>
      </c>
      <c r="C141" s="91" t="str">
        <f t="shared" si="13"/>
        <v>FRTUS EQUITY</v>
      </c>
      <c r="D141" s="85">
        <v>0.68527259853670053</v>
      </c>
      <c r="E141" s="85">
        <v>0.31472740146329953</v>
      </c>
      <c r="F141" s="86">
        <f>_xlfn.XLOOKUP(Table22[[#This Row],[Ticker]],D!B:B,D!D:D,"not found")</f>
        <v>10150000000</v>
      </c>
      <c r="G141" s="87">
        <v>-30.560870000000001</v>
      </c>
      <c r="H141" s="92">
        <v>12.497540000000001</v>
      </c>
      <c r="I141" s="93">
        <v>-8.1342639999999999</v>
      </c>
      <c r="J141" s="93">
        <v>-3.5907749999999998</v>
      </c>
      <c r="K141" s="94">
        <v>-0.23444290000000001</v>
      </c>
      <c r="N141" s="1">
        <f>D!E139</f>
        <v>1.1243902684977163E-3</v>
      </c>
      <c r="O141" s="25">
        <f t="shared" si="15"/>
        <v>-3.4362344824823803E-2</v>
      </c>
      <c r="P141" s="17">
        <f t="shared" si="16"/>
        <v>1.405211235616095E-2</v>
      </c>
      <c r="Q141" s="22">
        <f t="shared" si="17"/>
        <v>-9.1460872829913081E-3</v>
      </c>
      <c r="R141" s="22">
        <f t="shared" si="18"/>
        <v>-4.0374324663648873E-3</v>
      </c>
      <c r="S141" s="26">
        <f t="shared" si="19"/>
        <v>-2.6360531527838324E-4</v>
      </c>
      <c r="V141">
        <f t="shared" si="14"/>
        <v>4.7393364928909956E-3</v>
      </c>
      <c r="W141" s="25">
        <f t="shared" si="20"/>
        <v>-0.14483824644549764</v>
      </c>
      <c r="X141" s="17">
        <f t="shared" si="21"/>
        <v>5.9230047393364939E-2</v>
      </c>
      <c r="Y141" s="22">
        <f t="shared" si="22"/>
        <v>-3.855101421800948E-2</v>
      </c>
      <c r="Z141" s="22">
        <f t="shared" si="23"/>
        <v>-1.7017890995260663E-2</v>
      </c>
      <c r="AA141" s="26">
        <f t="shared" si="24"/>
        <v>-1.1111037914691944E-3</v>
      </c>
    </row>
    <row r="142" spans="1:27" x14ac:dyDescent="0.35">
      <c r="A142" s="83" t="s">
        <v>455</v>
      </c>
      <c r="B142" s="84" t="s">
        <v>455</v>
      </c>
      <c r="C142" s="91" t="str">
        <f t="shared" si="13"/>
        <v>TJXUS EQUITY</v>
      </c>
      <c r="D142" s="85">
        <v>0.6607142857142857</v>
      </c>
      <c r="E142" s="85">
        <v>0.3392857142857143</v>
      </c>
      <c r="F142" s="86">
        <f>_xlfn.XLOOKUP(Table22[[#This Row],[Ticker]],D!B:B,D!D:D,"not found")</f>
        <v>47480000000</v>
      </c>
      <c r="G142" s="87">
        <v>12.247249999999999</v>
      </c>
      <c r="H142" s="92">
        <v>38.772370000000002</v>
      </c>
      <c r="I142" s="93">
        <v>18.948160000000001</v>
      </c>
      <c r="J142" s="93">
        <v>3.4475210000000001</v>
      </c>
      <c r="K142" s="94">
        <v>7.3537109999999997</v>
      </c>
      <c r="N142" s="1">
        <f>D!E140</f>
        <v>5.2597093545095142E-3</v>
      </c>
      <c r="O142" s="25">
        <f t="shared" si="15"/>
        <v>6.4416975392016643E-2</v>
      </c>
      <c r="P142" s="17">
        <f t="shared" si="16"/>
        <v>0.20393139718550407</v>
      </c>
      <c r="Q142" s="22">
        <f t="shared" si="17"/>
        <v>9.9661814402743007E-2</v>
      </c>
      <c r="R142" s="22">
        <f t="shared" si="18"/>
        <v>1.8132958453567997E-2</v>
      </c>
      <c r="S142" s="26">
        <f t="shared" si="19"/>
        <v>3.8678382537059512E-2</v>
      </c>
      <c r="V142">
        <f t="shared" si="14"/>
        <v>4.7393364928909956E-3</v>
      </c>
      <c r="W142" s="25">
        <f t="shared" si="20"/>
        <v>5.804383886255924E-2</v>
      </c>
      <c r="X142" s="17">
        <f t="shared" si="21"/>
        <v>0.18375530805687207</v>
      </c>
      <c r="Y142" s="22">
        <f t="shared" si="22"/>
        <v>8.980170616113746E-2</v>
      </c>
      <c r="Z142" s="22">
        <f t="shared" si="23"/>
        <v>1.6338962085308058E-2</v>
      </c>
      <c r="AA142" s="26">
        <f t="shared" si="24"/>
        <v>3.4851710900473933E-2</v>
      </c>
    </row>
    <row r="143" spans="1:27" x14ac:dyDescent="0.35">
      <c r="A143" s="83" t="s">
        <v>355</v>
      </c>
      <c r="B143" s="84" t="s">
        <v>851</v>
      </c>
      <c r="C143" s="91" t="str">
        <f t="shared" si="13"/>
        <v>NOVUS EQUITY</v>
      </c>
      <c r="D143" s="85">
        <v>0.70348837209302328</v>
      </c>
      <c r="E143" s="85">
        <v>0.29651162790697677</v>
      </c>
      <c r="F143" s="86">
        <f>_xlfn.XLOOKUP(Table22[[#This Row],[Ticker]],D!B:B,D!D:D,"not found")</f>
        <v>12580000000</v>
      </c>
      <c r="G143" s="87">
        <v>-44.874630000000003</v>
      </c>
      <c r="H143" s="92">
        <v>-1.684105</v>
      </c>
      <c r="I143" s="93">
        <v>-28.268519999999999</v>
      </c>
      <c r="J143" s="93">
        <v>-3.2316210000000001</v>
      </c>
      <c r="K143" s="94">
        <v>13.914759999999999</v>
      </c>
      <c r="N143" s="1">
        <f>D!E141</f>
        <v>1.3935792687390415E-3</v>
      </c>
      <c r="O143" s="25">
        <f t="shared" si="15"/>
        <v>-6.2536354060335059E-2</v>
      </c>
      <c r="P143" s="17">
        <f t="shared" si="16"/>
        <v>-2.3469338143797635E-3</v>
      </c>
      <c r="Q143" s="22">
        <f t="shared" si="17"/>
        <v>-3.9394423429934967E-2</v>
      </c>
      <c r="R143" s="22">
        <f t="shared" si="18"/>
        <v>-4.5035200300217303E-3</v>
      </c>
      <c r="S143" s="26">
        <f t="shared" si="19"/>
        <v>1.9391321065479264E-2</v>
      </c>
      <c r="V143">
        <f t="shared" si="14"/>
        <v>4.7393364928909956E-3</v>
      </c>
      <c r="W143" s="25">
        <f t="shared" si="20"/>
        <v>-0.21267597156398108</v>
      </c>
      <c r="X143" s="17">
        <f t="shared" si="21"/>
        <v>-7.9815402843601904E-3</v>
      </c>
      <c r="Y143" s="22">
        <f t="shared" si="22"/>
        <v>-0.13397402843601897</v>
      </c>
      <c r="Z143" s="22">
        <f t="shared" si="23"/>
        <v>-1.5315739336492893E-2</v>
      </c>
      <c r="AA143" s="26">
        <f t="shared" si="24"/>
        <v>6.5946729857819908E-2</v>
      </c>
    </row>
    <row r="144" spans="1:27" x14ac:dyDescent="0.35">
      <c r="A144" s="83" t="s">
        <v>22</v>
      </c>
      <c r="B144" s="84" t="s">
        <v>533</v>
      </c>
      <c r="C144" s="91" t="str">
        <f t="shared" si="13"/>
        <v>KMBUS EQUITY</v>
      </c>
      <c r="D144" s="85">
        <v>0.75391110007449713</v>
      </c>
      <c r="E144" s="85">
        <v>0.24608889992550287</v>
      </c>
      <c r="F144" s="86">
        <f>_xlfn.XLOOKUP(Table22[[#This Row],[Ticker]],D!B:B,D!D:D,"not found")</f>
        <v>45940000000</v>
      </c>
      <c r="G144" s="87">
        <v>0.99918839999999998</v>
      </c>
      <c r="H144" s="92">
        <v>24.579419999999999</v>
      </c>
      <c r="I144" s="93">
        <v>-2.1024470000000002</v>
      </c>
      <c r="J144" s="93">
        <v>9.045458</v>
      </c>
      <c r="K144" s="94">
        <v>-7.6917289999999996</v>
      </c>
      <c r="N144" s="1">
        <f>D!E142</f>
        <v>5.0891122103236533E-3</v>
      </c>
      <c r="O144" s="25">
        <f t="shared" si="15"/>
        <v>5.0849818868537542E-3</v>
      </c>
      <c r="P144" s="17">
        <f t="shared" si="16"/>
        <v>0.12508742644467341</v>
      </c>
      <c r="Q144" s="22">
        <f t="shared" si="17"/>
        <v>-1.0699588699258335E-2</v>
      </c>
      <c r="R144" s="22">
        <f t="shared" si="18"/>
        <v>4.6033350755769774E-2</v>
      </c>
      <c r="S144" s="26">
        <f t="shared" si="19"/>
        <v>-3.9144071972400545E-2</v>
      </c>
      <c r="V144">
        <f t="shared" si="14"/>
        <v>4.7393364928909956E-3</v>
      </c>
      <c r="W144" s="25">
        <f t="shared" si="20"/>
        <v>4.7354900473933655E-3</v>
      </c>
      <c r="X144" s="17">
        <f t="shared" si="21"/>
        <v>0.11649014218009479</v>
      </c>
      <c r="Y144" s="22">
        <f t="shared" si="22"/>
        <v>-9.9642037914691953E-3</v>
      </c>
      <c r="Z144" s="22">
        <f t="shared" si="23"/>
        <v>4.2869469194312802E-2</v>
      </c>
      <c r="AA144" s="26">
        <f t="shared" si="24"/>
        <v>-3.6453691943127961E-2</v>
      </c>
    </row>
    <row r="145" spans="1:27" x14ac:dyDescent="0.35">
      <c r="A145" s="83" t="s">
        <v>441</v>
      </c>
      <c r="B145" s="84" t="s">
        <v>934</v>
      </c>
      <c r="C145" s="91" t="str">
        <f t="shared" si="13"/>
        <v>TTWOUS EQUITY</v>
      </c>
      <c r="D145" s="85">
        <v>1</v>
      </c>
      <c r="E145" s="85">
        <v>0</v>
      </c>
      <c r="F145" s="86">
        <f>_xlfn.XLOOKUP(Table22[[#This Row],[Ticker]],D!B:B,D!D:D,"not found")</f>
        <v>3040000000</v>
      </c>
      <c r="G145" s="87">
        <v>69.721469999999997</v>
      </c>
      <c r="H145" s="92">
        <v>18.93337</v>
      </c>
      <c r="I145" s="93">
        <v>-6.2306460000000001</v>
      </c>
      <c r="J145" s="93">
        <v>122.7226</v>
      </c>
      <c r="K145" s="94">
        <v>41.475320000000004</v>
      </c>
      <c r="N145" s="1">
        <f>D!E143</f>
        <v>3.3676319371754262E-4</v>
      </c>
      <c r="O145" s="25">
        <f t="shared" si="15"/>
        <v>2.3479624907881833E-2</v>
      </c>
      <c r="P145" s="17">
        <f t="shared" si="16"/>
        <v>6.3760621490359095E-3</v>
      </c>
      <c r="Q145" s="22">
        <f t="shared" si="17"/>
        <v>-2.0982522458834322E-3</v>
      </c>
      <c r="R145" s="22">
        <f t="shared" si="18"/>
        <v>4.1328454717320495E-2</v>
      </c>
      <c r="S145" s="26">
        <f t="shared" si="19"/>
        <v>1.3967361223657071E-2</v>
      </c>
      <c r="V145">
        <f t="shared" si="14"/>
        <v>4.7393364928909956E-3</v>
      </c>
      <c r="W145" s="25">
        <f t="shared" si="20"/>
        <v>0.33043350710900476</v>
      </c>
      <c r="X145" s="17">
        <f t="shared" si="21"/>
        <v>8.9731611374407591E-2</v>
      </c>
      <c r="Y145" s="22">
        <f t="shared" si="22"/>
        <v>-2.9529127962085309E-2</v>
      </c>
      <c r="Z145" s="22">
        <f t="shared" si="23"/>
        <v>0.5816236966824645</v>
      </c>
      <c r="AA145" s="26">
        <f t="shared" si="24"/>
        <v>0.19656549763033179</v>
      </c>
    </row>
    <row r="146" spans="1:27" x14ac:dyDescent="0.35">
      <c r="A146" s="83" t="s">
        <v>93</v>
      </c>
      <c r="B146" s="84" t="s">
        <v>597</v>
      </c>
      <c r="C146" s="91" t="str">
        <f t="shared" si="13"/>
        <v>ALGNUS EQUITY</v>
      </c>
      <c r="D146" s="85">
        <v>0.8578908002991773</v>
      </c>
      <c r="E146" s="85">
        <v>0.14210919970082272</v>
      </c>
      <c r="F146" s="86">
        <f>_xlfn.XLOOKUP(Table22[[#This Row],[Ticker]],D!B:B,D!D:D,"not found")</f>
        <v>5240000000</v>
      </c>
      <c r="G146" s="87">
        <v>91.506590000000003</v>
      </c>
      <c r="H146" s="92">
        <v>33.237850000000002</v>
      </c>
      <c r="I146" s="93">
        <v>-5.7428239999999997</v>
      </c>
      <c r="J146" s="93">
        <v>131.13489999999999</v>
      </c>
      <c r="K146" s="94">
        <v>45.983280000000001</v>
      </c>
      <c r="N146" s="1">
        <f>D!E144</f>
        <v>5.8047339969734312E-4</v>
      </c>
      <c r="O146" s="25">
        <f t="shared" si="15"/>
        <v>5.3117141392010903E-2</v>
      </c>
      <c r="P146" s="17">
        <f t="shared" si="16"/>
        <v>1.9293687788130336E-2</v>
      </c>
      <c r="Q146" s="22">
        <f t="shared" si="17"/>
        <v>-3.3335565711434946E-3</v>
      </c>
      <c r="R146" s="22">
        <f t="shared" si="18"/>
        <v>7.6120321221971113E-2</v>
      </c>
      <c r="S146" s="26">
        <f t="shared" si="19"/>
        <v>2.6692070870834844E-2</v>
      </c>
      <c r="V146">
        <f t="shared" si="14"/>
        <v>4.7393364928909956E-3</v>
      </c>
      <c r="W146" s="25">
        <f t="shared" si="20"/>
        <v>0.43368052132701429</v>
      </c>
      <c r="X146" s="17">
        <f t="shared" si="21"/>
        <v>0.15752535545023699</v>
      </c>
      <c r="Y146" s="22">
        <f t="shared" si="22"/>
        <v>-2.7217175355450238E-2</v>
      </c>
      <c r="Z146" s="22">
        <f t="shared" si="23"/>
        <v>0.6214924170616114</v>
      </c>
      <c r="AA146" s="26">
        <f t="shared" si="24"/>
        <v>0.21793023696682468</v>
      </c>
    </row>
    <row r="147" spans="1:27" x14ac:dyDescent="0.35">
      <c r="A147" s="83" t="s">
        <v>358</v>
      </c>
      <c r="B147" s="84" t="s">
        <v>854</v>
      </c>
      <c r="C147" s="91" t="str">
        <f t="shared" si="13"/>
        <v>NWLUS EQUITY</v>
      </c>
      <c r="D147" s="85">
        <v>0.70744409271928932</v>
      </c>
      <c r="E147" s="85">
        <v>0.29255590728071074</v>
      </c>
      <c r="F147" s="86">
        <f>_xlfn.XLOOKUP(Table22[[#This Row],[Ticker]],D!B:B,D!D:D,"not found")</f>
        <v>11780000000</v>
      </c>
      <c r="G147" s="87">
        <v>16.903079999999999</v>
      </c>
      <c r="H147" s="92">
        <v>9.4404699999999995</v>
      </c>
      <c r="I147" s="93">
        <v>-37.519440000000003</v>
      </c>
      <c r="J147" s="93">
        <v>-29.358709999999999</v>
      </c>
      <c r="K147" s="94">
        <v>2.9763459999999999</v>
      </c>
      <c r="N147" s="1">
        <f>D!E145</f>
        <v>1.3049573756554775E-3</v>
      </c>
      <c r="O147" s="25">
        <f t="shared" si="15"/>
        <v>2.2057798917294587E-2</v>
      </c>
      <c r="P147" s="17">
        <f t="shared" si="16"/>
        <v>1.2319410956154265E-2</v>
      </c>
      <c r="Q147" s="22">
        <f t="shared" si="17"/>
        <v>-4.8961269958463151E-2</v>
      </c>
      <c r="R147" s="22">
        <f t="shared" si="18"/>
        <v>-3.8311865154230219E-2</v>
      </c>
      <c r="S147" s="26">
        <f t="shared" si="19"/>
        <v>3.8840046652026776E-3</v>
      </c>
      <c r="V147">
        <f t="shared" si="14"/>
        <v>4.7393364928909956E-3</v>
      </c>
      <c r="W147" s="25">
        <f t="shared" si="20"/>
        <v>8.0109383886255922E-2</v>
      </c>
      <c r="X147" s="17">
        <f t="shared" si="21"/>
        <v>4.4741563981042655E-2</v>
      </c>
      <c r="Y147" s="22">
        <f t="shared" si="22"/>
        <v>-0.17781725118483416</v>
      </c>
      <c r="Z147" s="22">
        <f t="shared" si="23"/>
        <v>-0.1391408056872038</v>
      </c>
      <c r="AA147" s="26">
        <f t="shared" si="24"/>
        <v>1.4105905213270143E-2</v>
      </c>
    </row>
    <row r="148" spans="1:27" x14ac:dyDescent="0.35">
      <c r="A148" s="83" t="s">
        <v>112</v>
      </c>
      <c r="B148" s="84" t="s">
        <v>616</v>
      </c>
      <c r="C148" s="91" t="str">
        <f t="shared" si="13"/>
        <v>ANSSUS EQUITY</v>
      </c>
      <c r="D148" s="85">
        <v>0.95581538461538462</v>
      </c>
      <c r="E148" s="85">
        <v>4.4184615384615385E-2</v>
      </c>
      <c r="F148" s="86">
        <f>_xlfn.XLOOKUP(Table22[[#This Row],[Ticker]],D!B:B,D!D:D,"not found")</f>
        <v>8150000000</v>
      </c>
      <c r="G148" s="87">
        <v>41.330970000000001</v>
      </c>
      <c r="H148" s="92">
        <v>80.082570000000004</v>
      </c>
      <c r="I148" s="93">
        <v>-3.1506240000000001</v>
      </c>
      <c r="J148" s="93">
        <v>59.57403</v>
      </c>
      <c r="K148" s="94">
        <v>-1.0812280000000001E-2</v>
      </c>
      <c r="N148" s="1">
        <f>D!E146</f>
        <v>9.028355357888066E-4</v>
      </c>
      <c r="O148" s="25">
        <f t="shared" si="15"/>
        <v>3.731506844462109E-2</v>
      </c>
      <c r="P148" s="17">
        <f t="shared" si="16"/>
        <v>7.2301389993294607E-2</v>
      </c>
      <c r="Q148" s="22">
        <f t="shared" si="17"/>
        <v>-2.8444953071090733E-3</v>
      </c>
      <c r="R148" s="22">
        <f t="shared" si="18"/>
        <v>5.3785551294148436E-2</v>
      </c>
      <c r="S148" s="26">
        <f t="shared" si="19"/>
        <v>-9.7617106068985976E-6</v>
      </c>
      <c r="V148">
        <f t="shared" si="14"/>
        <v>4.7393364928909956E-3</v>
      </c>
      <c r="W148" s="25">
        <f t="shared" si="20"/>
        <v>0.19588137440758296</v>
      </c>
      <c r="X148" s="17">
        <f t="shared" si="21"/>
        <v>0.37953824644549766</v>
      </c>
      <c r="Y148" s="22">
        <f t="shared" si="22"/>
        <v>-1.49318672985782E-2</v>
      </c>
      <c r="Z148" s="22">
        <f t="shared" si="23"/>
        <v>0.28234137440758295</v>
      </c>
      <c r="AA148" s="26">
        <f t="shared" si="24"/>
        <v>-5.1243033175355458E-5</v>
      </c>
    </row>
    <row r="149" spans="1:27" x14ac:dyDescent="0.35">
      <c r="A149" s="83" t="s">
        <v>152</v>
      </c>
      <c r="B149" s="84" t="s">
        <v>656</v>
      </c>
      <c r="C149" s="91" t="str">
        <f t="shared" si="13"/>
        <v>KMXUS EQUITY</v>
      </c>
      <c r="D149" s="85">
        <v>0.97551049721111727</v>
      </c>
      <c r="E149" s="85">
        <v>2.4489502788882771E-2</v>
      </c>
      <c r="F149" s="86">
        <f>_xlfn.XLOOKUP(Table22[[#This Row],[Ticker]],D!B:B,D!D:D,"not found")</f>
        <v>10560000000</v>
      </c>
      <c r="G149" s="87">
        <v>7.7449680000000001</v>
      </c>
      <c r="H149" s="92">
        <v>39.757689999999997</v>
      </c>
      <c r="I149" s="93">
        <v>-2.1830799999999999</v>
      </c>
      <c r="J149" s="93">
        <v>-0.40380359999999998</v>
      </c>
      <c r="K149" s="94">
        <v>19.307020000000001</v>
      </c>
      <c r="N149" s="1">
        <f>D!E147</f>
        <v>1.1698089887030427E-3</v>
      </c>
      <c r="O149" s="25">
        <f t="shared" si="15"/>
        <v>9.0601331836174265E-3</v>
      </c>
      <c r="P149" s="17">
        <f t="shared" si="16"/>
        <v>4.6508903132069068E-2</v>
      </c>
      <c r="Q149" s="22">
        <f t="shared" si="17"/>
        <v>-2.5537866070578382E-3</v>
      </c>
      <c r="R149" s="22">
        <f t="shared" si="18"/>
        <v>-4.7237308095064793E-4</v>
      </c>
      <c r="S149" s="26">
        <f t="shared" si="19"/>
        <v>2.2585525541069421E-2</v>
      </c>
      <c r="V149">
        <f t="shared" si="14"/>
        <v>4.7393364928909956E-3</v>
      </c>
      <c r="W149" s="25">
        <f t="shared" si="20"/>
        <v>3.6706009478672988E-2</v>
      </c>
      <c r="X149" s="17">
        <f t="shared" si="21"/>
        <v>0.18842507109004739</v>
      </c>
      <c r="Y149" s="22">
        <f t="shared" si="22"/>
        <v>-1.0346350710900475E-2</v>
      </c>
      <c r="Z149" s="22">
        <f t="shared" si="23"/>
        <v>-1.9137611374407584E-3</v>
      </c>
      <c r="AA149" s="26">
        <f t="shared" si="24"/>
        <v>9.1502464454976312E-2</v>
      </c>
    </row>
    <row r="150" spans="1:27" x14ac:dyDescent="0.35">
      <c r="A150" s="83" t="s">
        <v>318</v>
      </c>
      <c r="B150" s="84" t="s">
        <v>815</v>
      </c>
      <c r="C150" s="91" t="str">
        <f t="shared" si="13"/>
        <v>LRCXUS EQUITY</v>
      </c>
      <c r="D150" s="85">
        <v>0.8</v>
      </c>
      <c r="E150" s="85">
        <v>0.2</v>
      </c>
      <c r="F150" s="86">
        <f>_xlfn.XLOOKUP(Table22[[#This Row],[Ticker]],D!B:B,D!D:D,"not found")</f>
        <v>12590000000</v>
      </c>
      <c r="G150" s="87">
        <v>63.974200000000003</v>
      </c>
      <c r="H150" s="92">
        <v>119.31489999999999</v>
      </c>
      <c r="I150" s="93">
        <v>-24.361139999999999</v>
      </c>
      <c r="J150" s="93">
        <v>76.192920000000001</v>
      </c>
      <c r="K150" s="94">
        <v>35.162880000000001</v>
      </c>
      <c r="N150" s="1">
        <f>D!E148</f>
        <v>1.3946870424025859E-3</v>
      </c>
      <c r="O150" s="25">
        <f t="shared" si="15"/>
        <v>8.9223987788071515E-2</v>
      </c>
      <c r="P150" s="17">
        <f t="shared" si="16"/>
        <v>0.1664069449955603</v>
      </c>
      <c r="Q150" s="22">
        <f t="shared" si="17"/>
        <v>-3.3976166296155332E-2</v>
      </c>
      <c r="R150" s="22">
        <f t="shared" si="18"/>
        <v>0.10626527824681684</v>
      </c>
      <c r="S150" s="26">
        <f t="shared" si="19"/>
        <v>4.9041213109557044E-2</v>
      </c>
      <c r="V150">
        <f t="shared" si="14"/>
        <v>4.7393364928909956E-3</v>
      </c>
      <c r="W150" s="25">
        <f t="shared" si="20"/>
        <v>0.30319526066350716</v>
      </c>
      <c r="X150" s="17">
        <f t="shared" si="21"/>
        <v>0.56547345971563978</v>
      </c>
      <c r="Y150" s="22">
        <f t="shared" si="22"/>
        <v>-0.11545563981042654</v>
      </c>
      <c r="Z150" s="22">
        <f t="shared" si="23"/>
        <v>0.36110388625592421</v>
      </c>
      <c r="AA150" s="26">
        <f t="shared" si="24"/>
        <v>0.16664872037914694</v>
      </c>
    </row>
    <row r="151" spans="1:27" x14ac:dyDescent="0.35">
      <c r="A151" s="83" t="s">
        <v>511</v>
      </c>
      <c r="B151" s="84" t="s">
        <v>993</v>
      </c>
      <c r="C151" s="91" t="str">
        <f t="shared" si="13"/>
        <v>ZBRAUS EQUITY</v>
      </c>
      <c r="D151" s="85">
        <v>0.5132544378698225</v>
      </c>
      <c r="E151" s="85">
        <v>0.4867455621301775</v>
      </c>
      <c r="F151" s="86">
        <f>_xlfn.XLOOKUP(Table22[[#This Row],[Ticker]],D!B:B,D!D:D,"not found")</f>
        <v>3630000000</v>
      </c>
      <c r="G151" s="87">
        <v>50.458030000000001</v>
      </c>
      <c r="H151" s="92">
        <v>60.422020000000003</v>
      </c>
      <c r="I151" s="93">
        <v>53.400770000000001</v>
      </c>
      <c r="J151" s="93">
        <v>21.035440000000001</v>
      </c>
      <c r="K151" s="94">
        <v>23.129940000000001</v>
      </c>
      <c r="N151" s="1">
        <f>D!E149</f>
        <v>4.0212183986667091E-4</v>
      </c>
      <c r="O151" s="25">
        <f t="shared" si="15"/>
        <v>2.0290275859647676E-2</v>
      </c>
      <c r="P151" s="17">
        <f t="shared" si="16"/>
        <v>2.4297013850860787E-2</v>
      </c>
      <c r="Q151" s="22">
        <f t="shared" si="17"/>
        <v>2.1473615882696924E-2</v>
      </c>
      <c r="R151" s="22">
        <f t="shared" si="18"/>
        <v>8.4588098352049654E-3</v>
      </c>
      <c r="S151" s="26">
        <f t="shared" si="19"/>
        <v>9.3010540288057074E-3</v>
      </c>
      <c r="V151">
        <f t="shared" si="14"/>
        <v>4.7393364928909956E-3</v>
      </c>
      <c r="W151" s="25">
        <f t="shared" si="20"/>
        <v>0.23913758293838866</v>
      </c>
      <c r="X151" s="17">
        <f t="shared" si="21"/>
        <v>0.28636028436018962</v>
      </c>
      <c r="Y151" s="22">
        <f t="shared" si="22"/>
        <v>0.25308421800947872</v>
      </c>
      <c r="Z151" s="22">
        <f t="shared" si="23"/>
        <v>9.9694028436018975E-2</v>
      </c>
      <c r="AA151" s="26">
        <f t="shared" si="24"/>
        <v>0.10962056872037916</v>
      </c>
    </row>
    <row r="152" spans="1:27" x14ac:dyDescent="0.35">
      <c r="A152" s="83" t="s">
        <v>288</v>
      </c>
      <c r="B152" s="84" t="s">
        <v>785</v>
      </c>
      <c r="C152" s="91" t="str">
        <f t="shared" si="13"/>
        <v>INCYUS EQUITY</v>
      </c>
      <c r="D152" s="85">
        <v>0.89758196721311478</v>
      </c>
      <c r="E152" s="85">
        <v>0.10241803278688524</v>
      </c>
      <c r="F152" s="86">
        <f>_xlfn.XLOOKUP(Table22[[#This Row],[Ticker]],D!B:B,D!D:D,"not found")</f>
        <v>20240000000</v>
      </c>
      <c r="G152" s="87">
        <v>-0.38937329999999998</v>
      </c>
      <c r="H152" s="92">
        <v>37.317169999999997</v>
      </c>
      <c r="I152" s="93">
        <v>-32.858199999999997</v>
      </c>
      <c r="J152" s="93">
        <v>-5.545032</v>
      </c>
      <c r="K152" s="94">
        <v>-7.5426460000000004</v>
      </c>
      <c r="N152" s="1">
        <f>D!E150</f>
        <v>2.2421338950141651E-3</v>
      </c>
      <c r="O152" s="25">
        <f t="shared" si="15"/>
        <v>-8.7302707374351896E-4</v>
      </c>
      <c r="P152" s="17">
        <f t="shared" si="16"/>
        <v>8.3670091723005741E-2</v>
      </c>
      <c r="Q152" s="22">
        <f t="shared" si="17"/>
        <v>-7.3672483949154433E-2</v>
      </c>
      <c r="R152" s="22">
        <f t="shared" si="18"/>
        <v>-1.2432704196138187E-2</v>
      </c>
      <c r="S152" s="26">
        <f t="shared" si="19"/>
        <v>-1.6911622254693014E-2</v>
      </c>
      <c r="V152">
        <f t="shared" si="14"/>
        <v>4.7393364928909956E-3</v>
      </c>
      <c r="W152" s="25">
        <f t="shared" si="20"/>
        <v>-1.8453710900473933E-3</v>
      </c>
      <c r="X152" s="17">
        <f t="shared" si="21"/>
        <v>0.17685862559241705</v>
      </c>
      <c r="Y152" s="22">
        <f t="shared" si="22"/>
        <v>-0.1557260663507109</v>
      </c>
      <c r="Z152" s="22">
        <f t="shared" si="23"/>
        <v>-2.6279772511848341E-2</v>
      </c>
      <c r="AA152" s="26">
        <f t="shared" si="24"/>
        <v>-3.5747137440758296E-2</v>
      </c>
    </row>
    <row r="153" spans="1:27" x14ac:dyDescent="0.35">
      <c r="A153" s="83" t="s">
        <v>416</v>
      </c>
      <c r="B153" s="84" t="s">
        <v>911</v>
      </c>
      <c r="C153" s="91" t="str">
        <f t="shared" si="13"/>
        <v>ROSTUS EQUITY</v>
      </c>
      <c r="D153" s="85">
        <v>0.96694214876033058</v>
      </c>
      <c r="E153" s="85">
        <v>3.3057851239669422E-2</v>
      </c>
      <c r="F153" s="86">
        <f>_xlfn.XLOOKUP(Table22[[#This Row],[Ticker]],D!B:B,D!D:D,"not found")</f>
        <v>21790000000</v>
      </c>
      <c r="G153" s="87">
        <v>5.8954240000000002</v>
      </c>
      <c r="H153" s="92">
        <v>41.338009999999997</v>
      </c>
      <c r="I153" s="93">
        <v>4.7827359999999999</v>
      </c>
      <c r="J153" s="93">
        <v>23.525490000000001</v>
      </c>
      <c r="K153" s="94">
        <v>23.021380000000001</v>
      </c>
      <c r="N153" s="1">
        <f>D!E151</f>
        <v>2.41383881286357E-3</v>
      </c>
      <c r="O153" s="25">
        <f t="shared" si="15"/>
        <v>1.4230603269487401E-2</v>
      </c>
      <c r="P153" s="17">
        <f t="shared" si="16"/>
        <v>9.9783292984542374E-2</v>
      </c>
      <c r="Q153" s="22">
        <f t="shared" si="17"/>
        <v>1.1544753788479859E-2</v>
      </c>
      <c r="R153" s="22">
        <f t="shared" si="18"/>
        <v>5.6786740853633791E-2</v>
      </c>
      <c r="S153" s="26">
        <f t="shared" si="19"/>
        <v>5.5569900569681134E-2</v>
      </c>
      <c r="V153">
        <f t="shared" si="14"/>
        <v>4.7393364928909956E-3</v>
      </c>
      <c r="W153" s="25">
        <f t="shared" si="20"/>
        <v>2.7940398104265407E-2</v>
      </c>
      <c r="X153" s="17">
        <f t="shared" si="21"/>
        <v>0.19591473933649289</v>
      </c>
      <c r="Y153" s="22">
        <f t="shared" si="22"/>
        <v>2.2666995260663507E-2</v>
      </c>
      <c r="Z153" s="22">
        <f t="shared" si="23"/>
        <v>0.1114952132701422</v>
      </c>
      <c r="AA153" s="26">
        <f t="shared" si="24"/>
        <v>0.10910606635071091</v>
      </c>
    </row>
    <row r="154" spans="1:27" x14ac:dyDescent="0.35">
      <c r="A154" s="83" t="s">
        <v>398</v>
      </c>
      <c r="B154" s="84" t="s">
        <v>894</v>
      </c>
      <c r="C154" s="91" t="str">
        <f t="shared" si="13"/>
        <v>PGRUS EQUITY</v>
      </c>
      <c r="D154" s="85">
        <v>0.99333333333333329</v>
      </c>
      <c r="E154" s="85">
        <v>6.6666666666666671E-3</v>
      </c>
      <c r="F154" s="86">
        <f>_xlfn.XLOOKUP(Table22[[#This Row],[Ticker]],D!B:B,D!D:D,"not found")</f>
        <v>18560000000</v>
      </c>
      <c r="G154" s="87">
        <v>41.517099999999999</v>
      </c>
      <c r="H154" s="92">
        <v>25.057770000000001</v>
      </c>
      <c r="I154" s="93">
        <v>9.3685989999999997</v>
      </c>
      <c r="J154" s="93">
        <v>61.571730000000002</v>
      </c>
      <c r="K154" s="94">
        <v>14.888310000000001</v>
      </c>
      <c r="N154" s="1">
        <f>D!E152</f>
        <v>2.0560279195386811E-3</v>
      </c>
      <c r="O154" s="25">
        <f t="shared" si="15"/>
        <v>8.5360316738279374E-2</v>
      </c>
      <c r="P154" s="17">
        <f t="shared" si="16"/>
        <v>5.1519474721378779E-2</v>
      </c>
      <c r="Q154" s="22">
        <f t="shared" si="17"/>
        <v>1.9262101110962167E-2</v>
      </c>
      <c r="R154" s="22">
        <f t="shared" si="18"/>
        <v>0.12659319593429741</v>
      </c>
      <c r="S154" s="26">
        <f t="shared" si="19"/>
        <v>3.0610781034746942E-2</v>
      </c>
      <c r="V154">
        <f t="shared" si="14"/>
        <v>4.7393364928909956E-3</v>
      </c>
      <c r="W154" s="25">
        <f t="shared" si="20"/>
        <v>0.19676350710900475</v>
      </c>
      <c r="X154" s="17">
        <f t="shared" si="21"/>
        <v>0.11875720379146922</v>
      </c>
      <c r="Y154" s="22">
        <f t="shared" si="22"/>
        <v>4.4400943127962091E-2</v>
      </c>
      <c r="Z154" s="22">
        <f t="shared" si="23"/>
        <v>0.29180914691943133</v>
      </c>
      <c r="AA154" s="26">
        <f t="shared" si="24"/>
        <v>7.0560710900473944E-2</v>
      </c>
    </row>
    <row r="155" spans="1:27" x14ac:dyDescent="0.35">
      <c r="A155" s="83" t="s">
        <v>377</v>
      </c>
      <c r="B155" s="84" t="s">
        <v>873</v>
      </c>
      <c r="C155" s="91" t="str">
        <f t="shared" si="13"/>
        <v>ORLYUS EQUITY</v>
      </c>
      <c r="D155" s="85">
        <v>0.56235753826115276</v>
      </c>
      <c r="E155" s="85">
        <v>0.4376424617388473</v>
      </c>
      <c r="F155" s="86">
        <f>_xlfn.XLOOKUP(Table22[[#This Row],[Ticker]],D!B:B,D!D:D,"not found")</f>
        <v>24770000000</v>
      </c>
      <c r="G155" s="87">
        <v>3.26519</v>
      </c>
      <c r="H155" s="92">
        <v>27.279070000000001</v>
      </c>
      <c r="I155" s="93">
        <v>43.148760000000003</v>
      </c>
      <c r="J155" s="93">
        <v>-13.60225</v>
      </c>
      <c r="K155" s="94">
        <v>9.8610880000000005</v>
      </c>
      <c r="N155" s="1">
        <f>D!E153</f>
        <v>2.7439553645998453E-3</v>
      </c>
      <c r="O155" s="25">
        <f t="shared" si="15"/>
        <v>8.9595356169377693E-3</v>
      </c>
      <c r="P155" s="17">
        <f t="shared" si="16"/>
        <v>7.485255046779471E-2</v>
      </c>
      <c r="Q155" s="22">
        <f t="shared" si="17"/>
        <v>0.11839827147783123</v>
      </c>
      <c r="R155" s="22">
        <f t="shared" si="18"/>
        <v>-3.7323966858128242E-2</v>
      </c>
      <c r="S155" s="26">
        <f t="shared" si="19"/>
        <v>2.7058385318391161E-2</v>
      </c>
      <c r="V155">
        <f t="shared" si="14"/>
        <v>4.7393364928909956E-3</v>
      </c>
      <c r="W155" s="25">
        <f t="shared" si="20"/>
        <v>1.547483412322275E-2</v>
      </c>
      <c r="X155" s="17">
        <f t="shared" si="21"/>
        <v>0.12928469194312797</v>
      </c>
      <c r="Y155" s="22">
        <f t="shared" si="22"/>
        <v>0.20449649289099528</v>
      </c>
      <c r="Z155" s="22">
        <f t="shared" si="23"/>
        <v>-6.446563981042655E-2</v>
      </c>
      <c r="AA155" s="26">
        <f t="shared" si="24"/>
        <v>4.6735014218009484E-2</v>
      </c>
    </row>
    <row r="156" spans="1:27" x14ac:dyDescent="0.35">
      <c r="A156" s="83" t="s">
        <v>147</v>
      </c>
      <c r="B156" s="84" t="s">
        <v>651</v>
      </c>
      <c r="C156" s="91" t="str">
        <f t="shared" si="13"/>
        <v>CDNSUS EQUITY</v>
      </c>
      <c r="D156" s="85">
        <v>0.97686800073434921</v>
      </c>
      <c r="E156" s="85">
        <v>2.3131999265650818E-2</v>
      </c>
      <c r="F156" s="86">
        <f>_xlfn.XLOOKUP(Table22[[#This Row],[Ticker]],D!B:B,D!D:D,"not found")</f>
        <v>6190000000</v>
      </c>
      <c r="G156" s="87">
        <v>96.69838</v>
      </c>
      <c r="H156" s="92">
        <v>59.521610000000003</v>
      </c>
      <c r="I156" s="93">
        <v>3.9694069999999999</v>
      </c>
      <c r="J156" s="93">
        <v>65.820760000000007</v>
      </c>
      <c r="K156" s="94">
        <v>21.191700000000001</v>
      </c>
      <c r="N156" s="1">
        <f>D!E154</f>
        <v>6.8571189773407521E-4</v>
      </c>
      <c r="O156" s="25">
        <f t="shared" si="15"/>
        <v>6.6307229657610739E-2</v>
      </c>
      <c r="P156" s="17">
        <f t="shared" si="16"/>
        <v>4.0814676149287507E-2</v>
      </c>
      <c r="Q156" s="22">
        <f t="shared" si="17"/>
        <v>2.7218696068489223E-3</v>
      </c>
      <c r="R156" s="22">
        <f t="shared" si="18"/>
        <v>4.5134078249899116E-2</v>
      </c>
      <c r="S156" s="26">
        <f t="shared" si="19"/>
        <v>1.4531400823211202E-2</v>
      </c>
      <c r="V156">
        <f t="shared" si="14"/>
        <v>4.7393364928909956E-3</v>
      </c>
      <c r="W156" s="25">
        <f t="shared" si="20"/>
        <v>0.45828616113744081</v>
      </c>
      <c r="X156" s="17">
        <f t="shared" si="21"/>
        <v>0.28209293838862565</v>
      </c>
      <c r="Y156" s="22">
        <f t="shared" si="22"/>
        <v>1.8812355450236969E-2</v>
      </c>
      <c r="Z156" s="22">
        <f t="shared" si="23"/>
        <v>0.31194672985781996</v>
      </c>
      <c r="AA156" s="26">
        <f t="shared" si="24"/>
        <v>0.10043459715639812</v>
      </c>
    </row>
    <row r="157" spans="1:27" x14ac:dyDescent="0.35">
      <c r="A157" s="83" t="s">
        <v>353</v>
      </c>
      <c r="B157" s="84" t="s">
        <v>353</v>
      </c>
      <c r="C157" s="91" t="str">
        <f t="shared" si="13"/>
        <v>MSCIUS EQUITY</v>
      </c>
      <c r="D157" s="85">
        <v>0.9363166953528399</v>
      </c>
      <c r="E157" s="85">
        <v>6.3683304647160072E-2</v>
      </c>
      <c r="F157" s="86">
        <f>_xlfn.XLOOKUP(Table22[[#This Row],[Ticker]],D!B:B,D!D:D,"not found")</f>
        <v>7290000000</v>
      </c>
      <c r="G157" s="87">
        <v>74.388040000000004</v>
      </c>
      <c r="H157" s="92">
        <v>77.173950000000005</v>
      </c>
      <c r="I157" s="93">
        <v>17.930209999999999</v>
      </c>
      <c r="J157" s="93">
        <v>62.603520000000003</v>
      </c>
      <c r="K157" s="94">
        <v>10.611700000000001</v>
      </c>
      <c r="N157" s="1">
        <f>D!E155</f>
        <v>8.0756700072397549E-4</v>
      </c>
      <c r="O157" s="25">
        <f t="shared" si="15"/>
        <v>6.0073326352535122E-2</v>
      </c>
      <c r="P157" s="17">
        <f t="shared" si="16"/>
        <v>6.2323135335522049E-2</v>
      </c>
      <c r="Q157" s="22">
        <f t="shared" si="17"/>
        <v>1.4479845912051032E-2</v>
      </c>
      <c r="R157" s="22">
        <f t="shared" si="18"/>
        <v>5.0556536881163419E-2</v>
      </c>
      <c r="S157" s="26">
        <f t="shared" si="19"/>
        <v>8.5696587415826121E-3</v>
      </c>
      <c r="V157">
        <f t="shared" si="14"/>
        <v>4.7393364928909956E-3</v>
      </c>
      <c r="W157" s="25">
        <f t="shared" si="20"/>
        <v>0.35254995260663513</v>
      </c>
      <c r="X157" s="17">
        <f t="shared" si="21"/>
        <v>0.36575331753554507</v>
      </c>
      <c r="Y157" s="22">
        <f t="shared" si="22"/>
        <v>8.4977298578199051E-2</v>
      </c>
      <c r="Z157" s="22">
        <f t="shared" si="23"/>
        <v>0.29669914691943133</v>
      </c>
      <c r="AA157" s="26">
        <f t="shared" si="24"/>
        <v>5.0292417061611382E-2</v>
      </c>
    </row>
    <row r="158" spans="1:27" x14ac:dyDescent="0.35">
      <c r="A158" s="83" t="s">
        <v>227</v>
      </c>
      <c r="B158" s="84" t="s">
        <v>728</v>
      </c>
      <c r="C158" s="91" t="str">
        <f t="shared" si="13"/>
        <v>EQIXUS EQUITY</v>
      </c>
      <c r="D158" s="85">
        <v>0.83654452354958253</v>
      </c>
      <c r="E158" s="85">
        <v>0.16345547645041747</v>
      </c>
      <c r="F158" s="86">
        <f>_xlfn.XLOOKUP(Table22[[#This Row],[Ticker]],D!B:B,D!D:D,"not found")</f>
        <v>18780000000</v>
      </c>
      <c r="G158" s="87">
        <v>24.227080000000001</v>
      </c>
      <c r="H158" s="92">
        <v>68.847149999999999</v>
      </c>
      <c r="I158" s="93">
        <v>-20.410080000000001</v>
      </c>
      <c r="J158" s="93">
        <v>29.18093</v>
      </c>
      <c r="K158" s="94">
        <v>20.695609999999999</v>
      </c>
      <c r="N158" s="1">
        <f>D!E156</f>
        <v>2.080398940136661E-3</v>
      </c>
      <c r="O158" s="25">
        <f t="shared" si="15"/>
        <v>5.0401991554606097E-2</v>
      </c>
      <c r="P158" s="17">
        <f t="shared" si="16"/>
        <v>0.14322953789142973</v>
      </c>
      <c r="Q158" s="22">
        <f t="shared" si="17"/>
        <v>-4.2461108800104466E-2</v>
      </c>
      <c r="R158" s="22">
        <f t="shared" si="18"/>
        <v>6.0707975844202094E-2</v>
      </c>
      <c r="S158" s="26">
        <f t="shared" si="19"/>
        <v>4.305512510948168E-2</v>
      </c>
      <c r="V158">
        <f t="shared" si="14"/>
        <v>4.7393364928909956E-3</v>
      </c>
      <c r="W158" s="25">
        <f t="shared" si="20"/>
        <v>0.11482028436018958</v>
      </c>
      <c r="X158" s="17">
        <f t="shared" si="21"/>
        <v>0.32628981042654032</v>
      </c>
      <c r="Y158" s="22">
        <f t="shared" si="22"/>
        <v>-9.6730236966824659E-2</v>
      </c>
      <c r="Z158" s="22">
        <f t="shared" si="23"/>
        <v>0.13829824644549765</v>
      </c>
      <c r="AA158" s="26">
        <f t="shared" si="24"/>
        <v>9.8083459715639809E-2</v>
      </c>
    </row>
    <row r="159" spans="1:27" x14ac:dyDescent="0.35">
      <c r="A159" s="83" t="s">
        <v>495</v>
      </c>
      <c r="B159" s="84" t="s">
        <v>979</v>
      </c>
      <c r="C159" s="91" t="str">
        <f t="shared" si="13"/>
        <v>WDCUS EQUITY</v>
      </c>
      <c r="D159" s="85">
        <v>0.78433864773009865</v>
      </c>
      <c r="E159" s="85">
        <v>0.21566135226990135</v>
      </c>
      <c r="F159" s="86">
        <f>_xlfn.XLOOKUP(Table22[[#This Row],[Ticker]],D!B:B,D!D:D,"not found")</f>
        <v>13910000000</v>
      </c>
      <c r="G159" s="87">
        <v>-10.92048</v>
      </c>
      <c r="H159" s="92">
        <v>77.022660000000002</v>
      </c>
      <c r="I159" s="93">
        <v>-51.907899999999998</v>
      </c>
      <c r="J159" s="93">
        <v>19.810510000000001</v>
      </c>
      <c r="K159" s="94">
        <v>17.475429999999999</v>
      </c>
      <c r="N159" s="1">
        <f>D!E157</f>
        <v>1.5409131659904663E-3</v>
      </c>
      <c r="O159" s="25">
        <f t="shared" si="15"/>
        <v>-1.6827511410935567E-2</v>
      </c>
      <c r="P159" s="17">
        <f t="shared" si="16"/>
        <v>0.11868523087360724</v>
      </c>
      <c r="Q159" s="22">
        <f t="shared" si="17"/>
        <v>-7.9985566528916516E-2</v>
      </c>
      <c r="R159" s="22">
        <f t="shared" si="18"/>
        <v>3.0526275683985794E-2</v>
      </c>
      <c r="S159" s="26">
        <f t="shared" si="19"/>
        <v>2.6928120168344772E-2</v>
      </c>
      <c r="V159">
        <f t="shared" si="14"/>
        <v>4.7393364928909956E-3</v>
      </c>
      <c r="W159" s="25">
        <f t="shared" si="20"/>
        <v>-5.1755829383886259E-2</v>
      </c>
      <c r="X159" s="17">
        <f t="shared" si="21"/>
        <v>0.36503630331753556</v>
      </c>
      <c r="Y159" s="22">
        <f t="shared" si="22"/>
        <v>-0.24600900473933651</v>
      </c>
      <c r="Z159" s="22">
        <f t="shared" si="23"/>
        <v>9.3888672985782004E-2</v>
      </c>
      <c r="AA159" s="26">
        <f t="shared" si="24"/>
        <v>8.2821943127962094E-2</v>
      </c>
    </row>
    <row r="160" spans="1:27" x14ac:dyDescent="0.35">
      <c r="A160" s="83" t="s">
        <v>509</v>
      </c>
      <c r="B160" s="84" t="s">
        <v>991</v>
      </c>
      <c r="C160" s="91" t="str">
        <f t="shared" si="13"/>
        <v>XLNXUS EQUITY</v>
      </c>
      <c r="D160" s="85">
        <v>0.73459239539906573</v>
      </c>
      <c r="E160" s="85">
        <v>0.26540760460093427</v>
      </c>
      <c r="F160" s="86">
        <f>_xlfn.XLOOKUP(Table22[[#This Row],[Ticker]],D!B:B,D!D:D,"not found")</f>
        <v>12070000000</v>
      </c>
      <c r="G160" s="87">
        <v>47.235529999999997</v>
      </c>
      <c r="H160" s="92">
        <v>16.392420000000001</v>
      </c>
      <c r="I160" s="93">
        <v>28.772790000000001</v>
      </c>
      <c r="J160" s="93">
        <v>14.09957</v>
      </c>
      <c r="K160" s="94">
        <v>32.05001</v>
      </c>
      <c r="N160" s="1">
        <f>D!E158</f>
        <v>1.3370828118982694E-3</v>
      </c>
      <c r="O160" s="25">
        <f t="shared" si="15"/>
        <v>6.3157815273905057E-2</v>
      </c>
      <c r="P160" s="17">
        <f t="shared" si="16"/>
        <v>2.1918023027417431E-2</v>
      </c>
      <c r="Q160" s="22">
        <f t="shared" si="17"/>
        <v>3.8471602959358406E-2</v>
      </c>
      <c r="R160" s="22">
        <f t="shared" si="18"/>
        <v>1.8852292702156482E-2</v>
      </c>
      <c r="S160" s="26">
        <f t="shared" si="19"/>
        <v>4.2853517492167655E-2</v>
      </c>
      <c r="V160">
        <f t="shared" si="14"/>
        <v>4.7393364928909956E-3</v>
      </c>
      <c r="W160" s="25">
        <f t="shared" si="20"/>
        <v>0.22386507109004739</v>
      </c>
      <c r="X160" s="17">
        <f t="shared" si="21"/>
        <v>7.7689194312796223E-2</v>
      </c>
      <c r="Y160" s="22">
        <f t="shared" si="22"/>
        <v>0.13636393364928912</v>
      </c>
      <c r="Z160" s="22">
        <f t="shared" si="23"/>
        <v>6.68226066350711E-2</v>
      </c>
      <c r="AA160" s="26">
        <f t="shared" si="24"/>
        <v>0.15189578199052134</v>
      </c>
    </row>
    <row r="161" spans="1:27" x14ac:dyDescent="0.35">
      <c r="A161" s="83" t="s">
        <v>127</v>
      </c>
      <c r="B161" s="84" t="s">
        <v>631</v>
      </c>
      <c r="C161" s="91" t="str">
        <f t="shared" si="13"/>
        <v>AVBUS EQUITY</v>
      </c>
      <c r="D161" s="85">
        <v>0.63958676986845997</v>
      </c>
      <c r="E161" s="85">
        <v>0.36041323013153997</v>
      </c>
      <c r="F161" s="86">
        <f>_xlfn.XLOOKUP(Table22[[#This Row],[Ticker]],D!B:B,D!D:D,"not found")</f>
        <v>25230000000</v>
      </c>
      <c r="G161" s="87">
        <v>-20.256260000000001</v>
      </c>
      <c r="H161" s="92">
        <v>24.079519999999999</v>
      </c>
      <c r="I161" s="93">
        <v>0.94772579999999995</v>
      </c>
      <c r="J161" s="93">
        <v>3.871524</v>
      </c>
      <c r="K161" s="94">
        <v>-0.88139179999999995</v>
      </c>
      <c r="N161" s="1">
        <f>D!E159</f>
        <v>2.7949129531228945E-3</v>
      </c>
      <c r="O161" s="25">
        <f t="shared" si="15"/>
        <v>-5.6614483455825163E-2</v>
      </c>
      <c r="P161" s="17">
        <f t="shared" si="16"/>
        <v>6.7300162352981793E-2</v>
      </c>
      <c r="Q161" s="22">
        <f t="shared" si="17"/>
        <v>2.6488111144287577E-3</v>
      </c>
      <c r="R161" s="22">
        <f t="shared" si="18"/>
        <v>1.0820572575926161E-2</v>
      </c>
      <c r="S161" s="26">
        <f t="shared" si="19"/>
        <v>-2.4634133585963035E-3</v>
      </c>
      <c r="V161">
        <f t="shared" si="14"/>
        <v>4.7393364928909956E-3</v>
      </c>
      <c r="W161" s="25">
        <f t="shared" si="20"/>
        <v>-9.6001232227488159E-2</v>
      </c>
      <c r="X161" s="17">
        <f t="shared" si="21"/>
        <v>0.11412094786729858</v>
      </c>
      <c r="Y161" s="22">
        <f t="shared" si="22"/>
        <v>4.4915914691943132E-3</v>
      </c>
      <c r="Z161" s="22">
        <f t="shared" si="23"/>
        <v>1.834845497630332E-2</v>
      </c>
      <c r="AA161" s="26">
        <f t="shared" si="24"/>
        <v>-4.1772123222748817E-3</v>
      </c>
    </row>
    <row r="162" spans="1:27" x14ac:dyDescent="0.35">
      <c r="A162" s="83" t="s">
        <v>27</v>
      </c>
      <c r="B162" s="84" t="s">
        <v>27</v>
      </c>
      <c r="C162" s="91" t="str">
        <f t="shared" si="13"/>
        <v>PTCUS EQUITY</v>
      </c>
      <c r="D162" s="85">
        <v>0.95619195046439631</v>
      </c>
      <c r="E162" s="85">
        <v>4.3808049535603716E-2</v>
      </c>
      <c r="F162" s="86">
        <f>_xlfn.XLOOKUP(Table22[[#This Row],[Ticker]],D!B:B,D!D:D,"not found")</f>
        <v>3970000000</v>
      </c>
      <c r="G162" s="87">
        <v>59.714199999999998</v>
      </c>
      <c r="H162" s="92">
        <v>-9.6622470000000007</v>
      </c>
      <c r="I162" s="93">
        <v>36.415990000000001</v>
      </c>
      <c r="J162" s="93">
        <v>31.337820000000001</v>
      </c>
      <c r="K162" s="94">
        <v>33.612499999999997</v>
      </c>
      <c r="N162" s="1">
        <f>D!E160</f>
        <v>4.3978614442718555E-4</v>
      </c>
      <c r="O162" s="25">
        <f t="shared" si="15"/>
        <v>2.6261477785553843E-2</v>
      </c>
      <c r="P162" s="17">
        <f t="shared" si="16"/>
        <v>-4.2493223546331404E-3</v>
      </c>
      <c r="Q162" s="22">
        <f t="shared" si="17"/>
        <v>1.6015247837598945E-2</v>
      </c>
      <c r="R162" s="22">
        <f t="shared" si="18"/>
        <v>1.3781939032553144E-2</v>
      </c>
      <c r="S162" s="26">
        <f t="shared" si="19"/>
        <v>1.4782311779558773E-2</v>
      </c>
      <c r="V162">
        <f t="shared" si="14"/>
        <v>4.7393364928909956E-3</v>
      </c>
      <c r="W162" s="25">
        <f t="shared" si="20"/>
        <v>0.28300568720379149</v>
      </c>
      <c r="X162" s="17">
        <f t="shared" si="21"/>
        <v>-4.5792639810426548E-2</v>
      </c>
      <c r="Y162" s="22">
        <f t="shared" si="22"/>
        <v>0.17258763033175356</v>
      </c>
      <c r="Z162" s="22">
        <f t="shared" si="23"/>
        <v>0.14852047393364931</v>
      </c>
      <c r="AA162" s="26">
        <f t="shared" si="24"/>
        <v>0.15930094786729856</v>
      </c>
    </row>
    <row r="163" spans="1:27" x14ac:dyDescent="0.35">
      <c r="A163" s="83" t="s">
        <v>231</v>
      </c>
      <c r="B163" s="84" t="s">
        <v>231</v>
      </c>
      <c r="C163" s="91" t="str">
        <f t="shared" si="13"/>
        <v>ETSYUS EQUITY</v>
      </c>
      <c r="D163" s="85">
        <v>1</v>
      </c>
      <c r="E163" s="85">
        <v>0</v>
      </c>
      <c r="F163" s="86">
        <f>_xlfn.XLOOKUP(Table22[[#This Row],[Ticker]],D!B:B,D!D:D,"not found")</f>
        <v>929770000</v>
      </c>
      <c r="G163" s="87">
        <v>301.6028</v>
      </c>
      <c r="H163" s="92">
        <v>-6.8740790000000001</v>
      </c>
      <c r="I163" s="93">
        <v>132.61609999999999</v>
      </c>
      <c r="J163" s="93">
        <v>73.599329999999995</v>
      </c>
      <c r="K163" s="94">
        <v>42.615020000000001</v>
      </c>
      <c r="N163" s="1">
        <f>D!E161</f>
        <v>1.0299747191538144E-4</v>
      </c>
      <c r="O163" s="25">
        <f t="shared" si="15"/>
        <v>3.1064325922600406E-2</v>
      </c>
      <c r="P163" s="17">
        <f t="shared" si="16"/>
        <v>-7.0801275874661333E-4</v>
      </c>
      <c r="Q163" s="22">
        <f t="shared" si="17"/>
        <v>1.3659123035277415E-2</v>
      </c>
      <c r="R163" s="22">
        <f t="shared" si="18"/>
        <v>7.5805449246658897E-3</v>
      </c>
      <c r="S163" s="26">
        <f t="shared" si="19"/>
        <v>4.3892393256234185E-3</v>
      </c>
      <c r="V163">
        <f t="shared" si="14"/>
        <v>4.7393364928909956E-3</v>
      </c>
      <c r="W163" s="25">
        <f t="shared" si="20"/>
        <v>1.4293971563981043</v>
      </c>
      <c r="X163" s="17">
        <f t="shared" si="21"/>
        <v>-3.257857345971564E-2</v>
      </c>
      <c r="Y163" s="22">
        <f t="shared" si="22"/>
        <v>0.62851232227488152</v>
      </c>
      <c r="Z163" s="22">
        <f t="shared" si="23"/>
        <v>0.348811990521327</v>
      </c>
      <c r="AA163" s="26">
        <f t="shared" si="24"/>
        <v>0.20196691943127965</v>
      </c>
    </row>
    <row r="164" spans="1:27" x14ac:dyDescent="0.35">
      <c r="A164" s="83" t="s">
        <v>145</v>
      </c>
      <c r="B164" s="84" t="s">
        <v>649</v>
      </c>
      <c r="C164" s="91" t="str">
        <f t="shared" si="13"/>
        <v>BRUS EQUITY</v>
      </c>
      <c r="D164" s="85">
        <v>0.78489335266100646</v>
      </c>
      <c r="E164" s="85">
        <v>0.21510664733899357</v>
      </c>
      <c r="F164" s="86">
        <f>_xlfn.XLOOKUP(Table22[[#This Row],[Ticker]],D!B:B,D!D:D,"not found")</f>
        <v>6370000000</v>
      </c>
      <c r="G164" s="87">
        <v>26.298950000000001</v>
      </c>
      <c r="H164" s="92">
        <v>30.580410000000001</v>
      </c>
      <c r="I164" s="93">
        <v>7.8747150000000001</v>
      </c>
      <c r="J164" s="93">
        <v>39.085830000000001</v>
      </c>
      <c r="K164" s="94">
        <v>25.874690000000001</v>
      </c>
      <c r="N164" s="1">
        <f>D!E162</f>
        <v>7.0565182367787705E-4</v>
      </c>
      <c r="O164" s="25">
        <f t="shared" si="15"/>
        <v>1.8557902028313304E-2</v>
      </c>
      <c r="P164" s="17">
        <f t="shared" si="16"/>
        <v>2.157912208531719E-2</v>
      </c>
      <c r="Q164" s="22">
        <f t="shared" si="17"/>
        <v>5.5568070006935333E-3</v>
      </c>
      <c r="R164" s="22">
        <f t="shared" si="18"/>
        <v>2.758098721946348E-2</v>
      </c>
      <c r="S164" s="26">
        <f t="shared" si="19"/>
        <v>1.8258522185599729E-2</v>
      </c>
      <c r="V164">
        <f t="shared" si="14"/>
        <v>4.7393364928909956E-3</v>
      </c>
      <c r="W164" s="25">
        <f t="shared" si="20"/>
        <v>0.12463957345971566</v>
      </c>
      <c r="X164" s="17">
        <f t="shared" si="21"/>
        <v>0.14493085308056874</v>
      </c>
      <c r="Y164" s="22">
        <f t="shared" si="22"/>
        <v>3.7320924170616117E-2</v>
      </c>
      <c r="Z164" s="22">
        <f t="shared" si="23"/>
        <v>0.18524090047393366</v>
      </c>
      <c r="AA164" s="26">
        <f t="shared" si="24"/>
        <v>0.12262886255924173</v>
      </c>
    </row>
    <row r="165" spans="1:27" x14ac:dyDescent="0.35">
      <c r="A165" s="83" t="s">
        <v>306</v>
      </c>
      <c r="B165" s="84" t="s">
        <v>803</v>
      </c>
      <c r="C165" s="95" t="str">
        <f t="shared" si="13"/>
        <v>JNPRUS EQUITY</v>
      </c>
      <c r="D165" s="96">
        <v>0.82381258023106552</v>
      </c>
      <c r="E165" s="96">
        <v>0.17618741976893454</v>
      </c>
      <c r="F165" s="86">
        <f>_xlfn.XLOOKUP(Table22[[#This Row],[Ticker]],D!B:B,D!D:D,"not found")</f>
        <v>10600000000</v>
      </c>
      <c r="G165" s="87">
        <v>-5.379975</v>
      </c>
      <c r="H165" s="92">
        <v>-5.6293249999999997</v>
      </c>
      <c r="I165" s="93">
        <v>-3.0570979999999999</v>
      </c>
      <c r="J165" s="93">
        <v>2.2851819999999998</v>
      </c>
      <c r="K165" s="94">
        <v>4.085636</v>
      </c>
      <c r="N165" s="1">
        <f>D!E163</f>
        <v>1.1742400833572209E-3</v>
      </c>
      <c r="O165" s="25">
        <f t="shared" si="15"/>
        <v>-6.3173822924597646E-3</v>
      </c>
      <c r="P165" s="17">
        <f t="shared" si="16"/>
        <v>-6.6101790572448867E-3</v>
      </c>
      <c r="Q165" s="22">
        <f t="shared" si="17"/>
        <v>-3.5897670103511932E-3</v>
      </c>
      <c r="R165" s="22">
        <f t="shared" si="18"/>
        <v>2.6833523021664203E-3</v>
      </c>
      <c r="S165" s="26">
        <f t="shared" si="19"/>
        <v>4.7975175572072624E-3</v>
      </c>
      <c r="V165">
        <f t="shared" si="14"/>
        <v>4.7393364928909956E-3</v>
      </c>
      <c r="W165" s="25">
        <f t="shared" si="20"/>
        <v>-2.5497511848341235E-2</v>
      </c>
      <c r="X165" s="17">
        <f t="shared" si="21"/>
        <v>-2.6679265402843603E-2</v>
      </c>
      <c r="Y165" s="22">
        <f t="shared" si="22"/>
        <v>-1.4488616113744076E-2</v>
      </c>
      <c r="Z165" s="22">
        <f t="shared" si="23"/>
        <v>1.083024644549763E-2</v>
      </c>
      <c r="AA165" s="26">
        <f t="shared" si="24"/>
        <v>1.9363203791469195E-2</v>
      </c>
    </row>
    <row r="166" spans="1:27" x14ac:dyDescent="0.35">
      <c r="A166" s="83" t="s">
        <v>30</v>
      </c>
      <c r="B166" s="84" t="s">
        <v>540</v>
      </c>
      <c r="C166" s="95" t="str">
        <f t="shared" si="13"/>
        <v>SLBUS EQUITY</v>
      </c>
      <c r="D166" s="96">
        <v>0.72694023193577162</v>
      </c>
      <c r="E166" s="96">
        <v>0.27305976806422838</v>
      </c>
      <c r="F166" s="86">
        <f>_xlfn.XLOOKUP(Table22[[#This Row],[Ticker]],D!B:B,D!D:D,"not found")</f>
        <v>87630000000</v>
      </c>
      <c r="G166" s="87">
        <v>-43.836170000000003</v>
      </c>
      <c r="H166" s="92">
        <v>17.719940000000001</v>
      </c>
      <c r="I166" s="93">
        <v>-44.631300000000003</v>
      </c>
      <c r="J166" s="93">
        <v>-17.35979</v>
      </c>
      <c r="K166" s="94">
        <v>23.50338</v>
      </c>
      <c r="N166" s="1">
        <f>D!E164</f>
        <v>9.7074206136408738E-3</v>
      </c>
      <c r="O166" s="25">
        <f t="shared" si="15"/>
        <v>-0.42553614028106568</v>
      </c>
      <c r="P166" s="17">
        <f t="shared" si="16"/>
        <v>0.17201491082847947</v>
      </c>
      <c r="Q166" s="22">
        <f t="shared" si="17"/>
        <v>-0.43325480163358998</v>
      </c>
      <c r="R166" s="22">
        <f t="shared" si="18"/>
        <v>-0.1685187832944767</v>
      </c>
      <c r="S166" s="26">
        <f t="shared" si="19"/>
        <v>0.22815719550223465</v>
      </c>
      <c r="V166">
        <f t="shared" si="14"/>
        <v>4.7393364928909956E-3</v>
      </c>
      <c r="W166" s="25">
        <f t="shared" si="20"/>
        <v>-0.20775436018957349</v>
      </c>
      <c r="X166" s="17">
        <f t="shared" si="21"/>
        <v>8.3980758293838872E-2</v>
      </c>
      <c r="Y166" s="22">
        <f t="shared" si="22"/>
        <v>-0.21152274881516592</v>
      </c>
      <c r="Z166" s="22">
        <f t="shared" si="23"/>
        <v>-8.2273886255924175E-2</v>
      </c>
      <c r="AA166" s="26">
        <f t="shared" si="24"/>
        <v>0.11139042654028437</v>
      </c>
    </row>
    <row r="167" spans="1:27" x14ac:dyDescent="0.35">
      <c r="A167" s="83" t="s">
        <v>239</v>
      </c>
      <c r="B167" s="84" t="s">
        <v>739</v>
      </c>
      <c r="C167" s="95" t="str">
        <f t="shared" si="13"/>
        <v>FFIVUS EQUITY</v>
      </c>
      <c r="D167" s="96">
        <v>0.97116704805491993</v>
      </c>
      <c r="E167" s="96">
        <v>2.8832951945080093E-2</v>
      </c>
      <c r="F167" s="86">
        <f>_xlfn.XLOOKUP(Table22[[#This Row],[Ticker]],D!B:B,D!D:D,"not found")</f>
        <v>6670000000</v>
      </c>
      <c r="G167" s="87">
        <v>25.98639</v>
      </c>
      <c r="H167" s="92">
        <v>-13.812239999999999</v>
      </c>
      <c r="I167" s="93">
        <v>23.479649999999999</v>
      </c>
      <c r="J167" s="93">
        <v>-9.3283649999999998</v>
      </c>
      <c r="K167" s="94">
        <v>49.257429999999999</v>
      </c>
      <c r="N167" s="1">
        <f>D!E165</f>
        <v>7.3888503358421353E-4</v>
      </c>
      <c r="O167" s="25">
        <f t="shared" si="15"/>
        <v>1.9200954647882469E-2</v>
      </c>
      <c r="P167" s="17">
        <f t="shared" si="16"/>
        <v>-1.0205657416273217E-2</v>
      </c>
      <c r="Q167" s="22">
        <f t="shared" si="17"/>
        <v>1.734876197879558E-2</v>
      </c>
      <c r="R167" s="22">
        <f t="shared" si="18"/>
        <v>-6.8925892863108016E-3</v>
      </c>
      <c r="S167" s="26">
        <f t="shared" si="19"/>
        <v>3.6395577819822049E-2</v>
      </c>
      <c r="V167">
        <f t="shared" si="14"/>
        <v>4.7393364928909956E-3</v>
      </c>
      <c r="W167" s="25">
        <f t="shared" si="20"/>
        <v>0.12315824644549764</v>
      </c>
      <c r="X167" s="17">
        <f t="shared" si="21"/>
        <v>-6.5460853080568718E-2</v>
      </c>
      <c r="Y167" s="22">
        <f t="shared" si="22"/>
        <v>0.11127796208530806</v>
      </c>
      <c r="Z167" s="22">
        <f t="shared" si="23"/>
        <v>-4.4210260663507112E-2</v>
      </c>
      <c r="AA167" s="26">
        <f t="shared" si="24"/>
        <v>0.2334475355450237</v>
      </c>
    </row>
    <row r="168" spans="1:27" x14ac:dyDescent="0.35">
      <c r="A168" s="83" t="s">
        <v>74</v>
      </c>
      <c r="B168" s="84" t="s">
        <v>579</v>
      </c>
      <c r="C168" s="95" t="str">
        <f t="shared" si="13"/>
        <v>BKNGUS EQUITY</v>
      </c>
      <c r="D168" s="96">
        <v>0.97908659281030974</v>
      </c>
      <c r="E168" s="96">
        <v>2.0913407189690255E-2</v>
      </c>
      <c r="F168" s="86">
        <f>_xlfn.XLOOKUP(Table22[[#This Row],[Ticker]],D!B:B,D!D:D,"not found")</f>
        <v>63250000000</v>
      </c>
      <c r="G168" s="87">
        <v>8.4499949999999995</v>
      </c>
      <c r="H168" s="92">
        <v>19.23517</v>
      </c>
      <c r="I168" s="93">
        <v>-0.88160629999999995</v>
      </c>
      <c r="J168" s="93">
        <v>18.531289999999998</v>
      </c>
      <c r="K168" s="94">
        <v>14.98963</v>
      </c>
      <c r="N168" s="1">
        <f>D!E166</f>
        <v>7.0066684219192666E-3</v>
      </c>
      <c r="O168" s="25">
        <f t="shared" si="15"/>
        <v>5.9206313131875687E-2</v>
      </c>
      <c r="P168" s="17">
        <f t="shared" si="16"/>
        <v>0.13477445822924883</v>
      </c>
      <c r="Q168" s="22">
        <f t="shared" si="17"/>
        <v>-6.1771230227750835E-3</v>
      </c>
      <c r="R168" s="22">
        <f t="shared" si="18"/>
        <v>0.12984260446042828</v>
      </c>
      <c r="S168" s="26">
        <f t="shared" si="19"/>
        <v>0.10502736717725369</v>
      </c>
      <c r="V168">
        <f t="shared" si="14"/>
        <v>4.7393364928909956E-3</v>
      </c>
      <c r="W168" s="25">
        <f t="shared" si="20"/>
        <v>4.0047369668246444E-2</v>
      </c>
      <c r="X168" s="17">
        <f t="shared" si="21"/>
        <v>9.1161943127962095E-2</v>
      </c>
      <c r="Y168" s="22">
        <f t="shared" si="22"/>
        <v>-4.1782289099526072E-3</v>
      </c>
      <c r="Z168" s="22">
        <f t="shared" si="23"/>
        <v>8.7826018957345972E-2</v>
      </c>
      <c r="AA168" s="26">
        <f t="shared" si="24"/>
        <v>7.104090047393366E-2</v>
      </c>
    </row>
    <row r="169" spans="1:27" x14ac:dyDescent="0.35">
      <c r="A169" s="83" t="s">
        <v>229</v>
      </c>
      <c r="B169" s="84" t="s">
        <v>730</v>
      </c>
      <c r="C169" s="95" t="str">
        <f t="shared" si="13"/>
        <v>ESSUS EQUITY</v>
      </c>
      <c r="D169" s="96">
        <v>0.58342174128297619</v>
      </c>
      <c r="E169" s="96">
        <v>0.41657825871702381</v>
      </c>
      <c r="F169" s="86">
        <f>_xlfn.XLOOKUP(Table22[[#This Row],[Ticker]],D!B:B,D!D:D,"not found")</f>
        <v>15650000000</v>
      </c>
      <c r="G169" s="87">
        <v>-18.081399999999999</v>
      </c>
      <c r="H169" s="92">
        <v>25.908470000000001</v>
      </c>
      <c r="I169" s="93">
        <v>4.769933</v>
      </c>
      <c r="J169" s="93">
        <v>6.7999599999999996</v>
      </c>
      <c r="K169" s="94">
        <v>-0.13026599999999999</v>
      </c>
      <c r="N169" s="1">
        <f>D!E167</f>
        <v>1.7336657834472176E-3</v>
      </c>
      <c r="O169" s="25">
        <f t="shared" si="15"/>
        <v>-3.1347104496822514E-2</v>
      </c>
      <c r="P169" s="17">
        <f t="shared" si="16"/>
        <v>4.4916627940468738E-2</v>
      </c>
      <c r="Q169" s="22">
        <f t="shared" si="17"/>
        <v>8.2694696314357368E-3</v>
      </c>
      <c r="R169" s="22">
        <f t="shared" si="18"/>
        <v>1.1788857980809741E-2</v>
      </c>
      <c r="S169" s="26">
        <f t="shared" si="19"/>
        <v>-2.2583770694653525E-4</v>
      </c>
      <c r="V169">
        <f t="shared" si="14"/>
        <v>4.7393364928909956E-3</v>
      </c>
      <c r="W169" s="25">
        <f t="shared" si="20"/>
        <v>-8.5693838862559241E-2</v>
      </c>
      <c r="X169" s="17">
        <f t="shared" si="21"/>
        <v>0.12278895734597157</v>
      </c>
      <c r="Y169" s="22">
        <f t="shared" si="22"/>
        <v>2.2606317535545026E-2</v>
      </c>
      <c r="Z169" s="22">
        <f t="shared" si="23"/>
        <v>3.2227298578199053E-2</v>
      </c>
      <c r="AA169" s="26">
        <f t="shared" si="24"/>
        <v>-6.1737440758293839E-4</v>
      </c>
    </row>
    <row r="170" spans="1:27" x14ac:dyDescent="0.35">
      <c r="A170" s="83" t="s">
        <v>221</v>
      </c>
      <c r="B170" s="84" t="s">
        <v>722</v>
      </c>
      <c r="C170" s="95" t="str">
        <f t="shared" si="13"/>
        <v>EAUS EQUITY</v>
      </c>
      <c r="D170" s="96">
        <v>0.97648261758691202</v>
      </c>
      <c r="E170" s="96">
        <v>2.3517382413087935E-2</v>
      </c>
      <c r="F170" s="86">
        <f>_xlfn.XLOOKUP(Table22[[#This Row],[Ticker]],D!B:B,D!D:D,"not found")</f>
        <v>21300000000</v>
      </c>
      <c r="G170" s="87">
        <v>33.747439999999997</v>
      </c>
      <c r="H170" s="92">
        <v>36.243810000000003</v>
      </c>
      <c r="I170" s="93">
        <v>-24.890540000000001</v>
      </c>
      <c r="J170" s="93">
        <v>33.392589999999998</v>
      </c>
      <c r="K170" s="94">
        <v>14.61003</v>
      </c>
      <c r="N170" s="1">
        <f>D!E168</f>
        <v>2.3595579033498875E-3</v>
      </c>
      <c r="O170" s="25">
        <f t="shared" si="15"/>
        <v>7.9629038769826119E-2</v>
      </c>
      <c r="P170" s="17">
        <f t="shared" si="16"/>
        <v>8.55193683330117E-2</v>
      </c>
      <c r="Q170" s="22">
        <f t="shared" si="17"/>
        <v>-5.8730670375646513E-2</v>
      </c>
      <c r="R170" s="22">
        <f t="shared" si="18"/>
        <v>7.8791749647822415E-2</v>
      </c>
      <c r="S170" s="26">
        <f t="shared" si="19"/>
        <v>3.4473211754678955E-2</v>
      </c>
      <c r="V170">
        <f t="shared" si="14"/>
        <v>4.7393364928909956E-3</v>
      </c>
      <c r="W170" s="25">
        <f t="shared" si="20"/>
        <v>0.1599404739336493</v>
      </c>
      <c r="X170" s="17">
        <f t="shared" si="21"/>
        <v>0.17177161137440761</v>
      </c>
      <c r="Y170" s="22">
        <f t="shared" si="22"/>
        <v>-0.11796464454976305</v>
      </c>
      <c r="Z170" s="22">
        <f t="shared" si="23"/>
        <v>0.15825872037914693</v>
      </c>
      <c r="AA170" s="26">
        <f t="shared" si="24"/>
        <v>6.9241848341232232E-2</v>
      </c>
    </row>
    <row r="171" spans="1:27" x14ac:dyDescent="0.35">
      <c r="A171" s="83" t="s">
        <v>436</v>
      </c>
      <c r="B171" s="84" t="s">
        <v>929</v>
      </c>
      <c r="C171" s="95" t="str">
        <f t="shared" si="13"/>
        <v>SYKUS EQUITY</v>
      </c>
      <c r="D171" s="96">
        <v>0.77358490566037741</v>
      </c>
      <c r="E171" s="96">
        <v>0.22641509433962265</v>
      </c>
      <c r="F171" s="86">
        <f>_xlfn.XLOOKUP(Table22[[#This Row],[Ticker]],D!B:B,D!D:D,"not found")</f>
        <v>34670000000</v>
      </c>
      <c r="G171" s="87">
        <v>18.146999999999998</v>
      </c>
      <c r="H171" s="92">
        <v>35.332439999999998</v>
      </c>
      <c r="I171" s="93">
        <v>2.4334790000000002</v>
      </c>
      <c r="J171" s="93">
        <v>30.836680000000001</v>
      </c>
      <c r="K171" s="94">
        <v>30.675509999999999</v>
      </c>
      <c r="N171" s="1">
        <f>D!E169</f>
        <v>3.8406512915089481E-3</v>
      </c>
      <c r="O171" s="25">
        <f t="shared" si="15"/>
        <v>6.9696298987012878E-2</v>
      </c>
      <c r="P171" s="17">
        <f t="shared" si="16"/>
        <v>0.1356995813181624</v>
      </c>
      <c r="Q171" s="22">
        <f t="shared" si="17"/>
        <v>9.3461442642099046E-3</v>
      </c>
      <c r="R171" s="22">
        <f t="shared" si="18"/>
        <v>0.11843293486784816</v>
      </c>
      <c r="S171" s="26">
        <f t="shared" si="19"/>
        <v>0.11781393709919565</v>
      </c>
      <c r="V171">
        <f t="shared" si="14"/>
        <v>4.7393364928909956E-3</v>
      </c>
      <c r="W171" s="25">
        <f t="shared" si="20"/>
        <v>8.6004739336492886E-2</v>
      </c>
      <c r="X171" s="17">
        <f t="shared" si="21"/>
        <v>0.16745232227488152</v>
      </c>
      <c r="Y171" s="22">
        <f t="shared" si="22"/>
        <v>1.1533075829383888E-2</v>
      </c>
      <c r="Z171" s="22">
        <f t="shared" si="23"/>
        <v>0.14614540284360192</v>
      </c>
      <c r="AA171" s="26">
        <f t="shared" si="24"/>
        <v>0.14538156398104266</v>
      </c>
    </row>
    <row r="172" spans="1:27" x14ac:dyDescent="0.35">
      <c r="A172" s="83" t="s">
        <v>268</v>
      </c>
      <c r="B172" s="84" t="s">
        <v>766</v>
      </c>
      <c r="C172" s="95" t="str">
        <f t="shared" si="13"/>
        <v>HASUS EQUITY</v>
      </c>
      <c r="D172" s="96">
        <v>0.98560171222881598</v>
      </c>
      <c r="E172" s="96">
        <v>1.4398287771183967E-2</v>
      </c>
      <c r="F172" s="86">
        <f>_xlfn.XLOOKUP(Table22[[#This Row],[Ticker]],D!B:B,D!D:D,"not found")</f>
        <v>8410000000</v>
      </c>
      <c r="G172" s="87">
        <v>-8.4161999999999999</v>
      </c>
      <c r="H172" s="92">
        <v>33.424939999999999</v>
      </c>
      <c r="I172" s="93">
        <v>-8.2252500000000008</v>
      </c>
      <c r="J172" s="93">
        <v>19.59056</v>
      </c>
      <c r="K172" s="94">
        <v>18.350239999999999</v>
      </c>
      <c r="N172" s="1">
        <f>D!E170</f>
        <v>9.3163765104096487E-4</v>
      </c>
      <c r="O172" s="25">
        <f t="shared" ref="O172:O203" si="25">N172*G172</f>
        <v>-7.8408487986909685E-3</v>
      </c>
      <c r="P172" s="17">
        <f t="shared" ref="P172:P203" si="26">N172*H172</f>
        <v>3.1139932587785187E-2</v>
      </c>
      <c r="Q172" s="22">
        <f t="shared" ref="Q172:Q203" si="27">N172*I172</f>
        <v>-7.6629525892246975E-3</v>
      </c>
      <c r="R172" s="22">
        <f t="shared" ref="R172:R203" si="28">N172*J172</f>
        <v>1.8251303300977084E-2</v>
      </c>
      <c r="S172" s="26">
        <f t="shared" ref="S172:S203" si="29">N172*K172</f>
        <v>1.7095774489637956E-2</v>
      </c>
      <c r="V172">
        <f t="shared" si="14"/>
        <v>4.7393364928909956E-3</v>
      </c>
      <c r="W172" s="25">
        <f t="shared" ref="W172:W203" si="30">V172*G172</f>
        <v>-3.9887203791469199E-2</v>
      </c>
      <c r="X172" s="17">
        <f t="shared" ref="X172:X203" si="31">V172*H172</f>
        <v>0.15841203791469194</v>
      </c>
      <c r="Y172" s="22">
        <f t="shared" ref="Y172:Y203" si="32">V172*I172</f>
        <v>-3.8982227488151666E-2</v>
      </c>
      <c r="Z172" s="22">
        <f t="shared" ref="Z172:Z203" si="33">V172*J172</f>
        <v>9.2846255924170618E-2</v>
      </c>
      <c r="AA172" s="26">
        <f t="shared" ref="AA172:AA203" si="34">V172*K172</f>
        <v>8.6967962085308062E-2</v>
      </c>
    </row>
    <row r="173" spans="1:27" x14ac:dyDescent="0.35">
      <c r="A173" s="83" t="s">
        <v>105</v>
      </c>
      <c r="B173" s="84" t="s">
        <v>609</v>
      </c>
      <c r="C173" s="95" t="str">
        <f t="shared" ref="C173:C214" si="35">B173&amp;( "US EQUITY")</f>
        <v>AMTUS EQUITY</v>
      </c>
      <c r="D173" s="96">
        <v>0.80662104090402675</v>
      </c>
      <c r="E173" s="96">
        <v>0.19337895909597327</v>
      </c>
      <c r="F173" s="86">
        <f>_xlfn.XLOOKUP(Table22[[#This Row],[Ticker]],D!B:B,D!D:D,"not found")</f>
        <v>41100000000</v>
      </c>
      <c r="G173" s="87">
        <v>-0.475049</v>
      </c>
      <c r="H173" s="92">
        <v>47.849130000000002</v>
      </c>
      <c r="I173" s="93">
        <v>13.32321</v>
      </c>
      <c r="J173" s="93">
        <v>37.687530000000002</v>
      </c>
      <c r="K173" s="94">
        <v>11.214460000000001</v>
      </c>
      <c r="N173" s="1">
        <f>D!E171</f>
        <v>4.5529497571680927E-3</v>
      </c>
      <c r="O173" s="25">
        <f t="shared" si="25"/>
        <v>-2.1628742291929454E-3</v>
      </c>
      <c r="P173" s="17">
        <f t="shared" si="26"/>
        <v>0.2178546848142045</v>
      </c>
      <c r="Q173" s="22">
        <f t="shared" si="27"/>
        <v>6.06599057341995E-2</v>
      </c>
      <c r="R173" s="22">
        <f t="shared" si="28"/>
        <v>0.17158943056176523</v>
      </c>
      <c r="S173" s="26">
        <f t="shared" si="29"/>
        <v>5.1058872933771295E-2</v>
      </c>
      <c r="V173">
        <f t="shared" si="14"/>
        <v>4.7393364928909956E-3</v>
      </c>
      <c r="W173" s="25">
        <f t="shared" si="30"/>
        <v>-2.2514170616113748E-3</v>
      </c>
      <c r="X173" s="17">
        <f t="shared" si="31"/>
        <v>0.22677312796208535</v>
      </c>
      <c r="Y173" s="22">
        <f t="shared" si="32"/>
        <v>6.3143175355450235E-2</v>
      </c>
      <c r="Z173" s="22">
        <f t="shared" si="33"/>
        <v>0.1786138862559242</v>
      </c>
      <c r="AA173" s="26">
        <f t="shared" si="34"/>
        <v>5.3149099526066355E-2</v>
      </c>
    </row>
    <row r="174" spans="1:27" x14ac:dyDescent="0.35">
      <c r="A174" s="83" t="s">
        <v>180</v>
      </c>
      <c r="B174" s="84" t="s">
        <v>684</v>
      </c>
      <c r="C174" s="95" t="str">
        <f t="shared" si="35"/>
        <v>CLUS EQUITY</v>
      </c>
      <c r="D174" s="96">
        <v>0.93207893529141805</v>
      </c>
      <c r="E174" s="96">
        <v>6.7921064708581919E-2</v>
      </c>
      <c r="F174" s="86">
        <f>_xlfn.XLOOKUP(Table22[[#This Row],[Ticker]],D!B:B,D!D:D,"not found")</f>
        <v>59470000000</v>
      </c>
      <c r="G174" s="87">
        <v>27.15917</v>
      </c>
      <c r="H174" s="92">
        <v>18.61336</v>
      </c>
      <c r="I174" s="93">
        <v>-19.17886</v>
      </c>
      <c r="J174" s="93">
        <v>17.891100000000002</v>
      </c>
      <c r="K174" s="94">
        <v>0.43542389999999997</v>
      </c>
      <c r="N174" s="1">
        <f>D!E172</f>
        <v>6.5879299770994267E-3</v>
      </c>
      <c r="O174" s="25">
        <f t="shared" si="25"/>
        <v>0.17892271019613942</v>
      </c>
      <c r="P174" s="17">
        <f t="shared" si="26"/>
        <v>0.12262351231854339</v>
      </c>
      <c r="Q174" s="22">
        <f t="shared" si="27"/>
        <v>-0.12634898672059311</v>
      </c>
      <c r="R174" s="22">
        <f t="shared" si="28"/>
        <v>0.11786531401328357</v>
      </c>
      <c r="S174" s="26">
        <f t="shared" si="29"/>
        <v>2.8685421635555428E-3</v>
      </c>
      <c r="V174">
        <f t="shared" si="14"/>
        <v>4.7393364928909956E-3</v>
      </c>
      <c r="W174" s="25">
        <f t="shared" si="30"/>
        <v>0.12871644549763034</v>
      </c>
      <c r="X174" s="17">
        <f t="shared" si="31"/>
        <v>8.8214976303317538E-2</v>
      </c>
      <c r="Y174" s="22">
        <f t="shared" si="32"/>
        <v>-9.0895071090047408E-2</v>
      </c>
      <c r="Z174" s="22">
        <f t="shared" si="33"/>
        <v>8.4791943127962094E-2</v>
      </c>
      <c r="AA174" s="26">
        <f t="shared" si="34"/>
        <v>2.0636203791469195E-3</v>
      </c>
    </row>
    <row r="175" spans="1:27" x14ac:dyDescent="0.35">
      <c r="A175" s="83" t="s">
        <v>67</v>
      </c>
      <c r="B175" s="84" t="s">
        <v>574</v>
      </c>
      <c r="C175" s="95" t="str">
        <f t="shared" si="35"/>
        <v>TPRUS EQUITY</v>
      </c>
      <c r="D175" s="96">
        <v>0.7270453733476242</v>
      </c>
      <c r="E175" s="96">
        <v>0.27295462665237585</v>
      </c>
      <c r="F175" s="86">
        <f>_xlfn.XLOOKUP(Table22[[#This Row],[Ticker]],D!B:B,D!D:D,"not found")</f>
        <v>9090000000</v>
      </c>
      <c r="G175" s="87">
        <v>16.989519999999999</v>
      </c>
      <c r="H175" s="92">
        <v>-16.079799999999999</v>
      </c>
      <c r="I175" s="93">
        <v>-21.41095</v>
      </c>
      <c r="J175" s="93">
        <v>30.433859999999999</v>
      </c>
      <c r="K175" s="94">
        <v>10.8032</v>
      </c>
      <c r="N175" s="1">
        <f>D!E173</f>
        <v>1.0069662601619941E-3</v>
      </c>
      <c r="O175" s="25">
        <f t="shared" si="25"/>
        <v>1.71078734163474E-2</v>
      </c>
      <c r="P175" s="17">
        <f t="shared" si="26"/>
        <v>-1.6191816070152833E-2</v>
      </c>
      <c r="Q175" s="22">
        <f t="shared" si="27"/>
        <v>-2.1560104248015449E-2</v>
      </c>
      <c r="R175" s="22">
        <f t="shared" si="28"/>
        <v>3.0645870186493705E-2</v>
      </c>
      <c r="S175" s="26">
        <f t="shared" si="29"/>
        <v>1.0878457901782055E-2</v>
      </c>
      <c r="V175">
        <f t="shared" si="14"/>
        <v>4.7393364928909956E-3</v>
      </c>
      <c r="W175" s="25">
        <f t="shared" si="30"/>
        <v>8.0519052132701427E-2</v>
      </c>
      <c r="X175" s="17">
        <f t="shared" si="31"/>
        <v>-7.6207582938388627E-2</v>
      </c>
      <c r="Y175" s="22">
        <f t="shared" si="32"/>
        <v>-0.10147369668246446</v>
      </c>
      <c r="Z175" s="22">
        <f t="shared" si="33"/>
        <v>0.14423630331753556</v>
      </c>
      <c r="AA175" s="26">
        <f t="shared" si="34"/>
        <v>5.1200000000000002E-2</v>
      </c>
    </row>
    <row r="176" spans="1:27" x14ac:dyDescent="0.35">
      <c r="A176" s="83" t="s">
        <v>403</v>
      </c>
      <c r="B176" s="84" t="s">
        <v>403</v>
      </c>
      <c r="C176" s="95" t="str">
        <f t="shared" si="35"/>
        <v>PVHUS EQUITY</v>
      </c>
      <c r="D176" s="96">
        <v>0.95482002482416217</v>
      </c>
      <c r="E176" s="96">
        <v>4.5179975175837814E-2</v>
      </c>
      <c r="F176" s="86">
        <f>_xlfn.XLOOKUP(Table22[[#This Row],[Ticker]],D!B:B,D!D:D,"not found")</f>
        <v>6040000000</v>
      </c>
      <c r="G176" s="87">
        <v>-10.609730000000001</v>
      </c>
      <c r="H176" s="92">
        <v>13.29922</v>
      </c>
      <c r="I176" s="93">
        <v>-32.184150000000002</v>
      </c>
      <c r="J176" s="93">
        <v>52.25938</v>
      </c>
      <c r="K176" s="94">
        <v>22.723130000000001</v>
      </c>
      <c r="N176" s="1">
        <f>D!E174</f>
        <v>6.6909529278090703E-4</v>
      </c>
      <c r="O176" s="25">
        <f t="shared" si="25"/>
        <v>-7.098920400676373E-3</v>
      </c>
      <c r="P176" s="17">
        <f t="shared" si="26"/>
        <v>8.898445499657695E-3</v>
      </c>
      <c r="Q176" s="22">
        <f t="shared" si="27"/>
        <v>-2.153426326715463E-2</v>
      </c>
      <c r="R176" s="22">
        <f t="shared" si="28"/>
        <v>3.4966505161648676E-2</v>
      </c>
      <c r="S176" s="26">
        <f t="shared" si="29"/>
        <v>1.5203939320248612E-2</v>
      </c>
      <c r="V176">
        <f t="shared" si="14"/>
        <v>4.7393364928909956E-3</v>
      </c>
      <c r="W176" s="25">
        <f t="shared" si="30"/>
        <v>-5.0283080568720384E-2</v>
      </c>
      <c r="X176" s="17">
        <f t="shared" si="31"/>
        <v>6.3029478672985792E-2</v>
      </c>
      <c r="Y176" s="22">
        <f t="shared" si="32"/>
        <v>-0.15253151658767775</v>
      </c>
      <c r="Z176" s="22">
        <f t="shared" si="33"/>
        <v>0.24767478672985785</v>
      </c>
      <c r="AA176" s="26">
        <f t="shared" si="34"/>
        <v>0.10769255924170618</v>
      </c>
    </row>
    <row r="177" spans="1:27" x14ac:dyDescent="0.35">
      <c r="A177" s="83" t="s">
        <v>87</v>
      </c>
      <c r="B177" s="84" t="s">
        <v>591</v>
      </c>
      <c r="C177" s="95" t="str">
        <f t="shared" si="35"/>
        <v>AUS EQUITY</v>
      </c>
      <c r="D177" s="96">
        <v>0.94675075842248124</v>
      </c>
      <c r="E177" s="96">
        <v>5.3249241577518758E-2</v>
      </c>
      <c r="F177" s="86">
        <f>_xlfn.XLOOKUP(Table22[[#This Row],[Ticker]],D!B:B,D!D:D,"not found")</f>
        <v>13700000000</v>
      </c>
      <c r="G177" s="87">
        <v>39.768160000000002</v>
      </c>
      <c r="H177" s="92">
        <v>27.530200000000001</v>
      </c>
      <c r="I177" s="93">
        <v>1.6731499999999999</v>
      </c>
      <c r="J177" s="93">
        <v>48.32058</v>
      </c>
      <c r="K177" s="94">
        <v>10.14855</v>
      </c>
      <c r="N177" s="1">
        <f>D!E175</f>
        <v>1.5176499190560308E-3</v>
      </c>
      <c r="O177" s="25">
        <f t="shared" si="25"/>
        <v>6.0354144805007282E-2</v>
      </c>
      <c r="P177" s="17">
        <f t="shared" si="26"/>
        <v>4.178120580159634E-2</v>
      </c>
      <c r="Q177" s="22">
        <f t="shared" si="27"/>
        <v>2.5392559620685978E-3</v>
      </c>
      <c r="R177" s="22">
        <f t="shared" si="28"/>
        <v>7.3333724325740451E-2</v>
      </c>
      <c r="S177" s="26">
        <f t="shared" si="29"/>
        <v>1.5401946086036081E-2</v>
      </c>
      <c r="V177">
        <f t="shared" si="14"/>
        <v>4.7393364928909956E-3</v>
      </c>
      <c r="W177" s="25">
        <f t="shared" si="30"/>
        <v>0.18847469194312799</v>
      </c>
      <c r="X177" s="17">
        <f t="shared" si="31"/>
        <v>0.1304748815165877</v>
      </c>
      <c r="Y177" s="22">
        <f t="shared" si="32"/>
        <v>7.9296208530805681E-3</v>
      </c>
      <c r="Z177" s="22">
        <f t="shared" si="33"/>
        <v>0.22900748815165878</v>
      </c>
      <c r="AA177" s="26">
        <f t="shared" si="34"/>
        <v>4.8097393364928916E-2</v>
      </c>
    </row>
    <row r="178" spans="1:27" x14ac:dyDescent="0.35">
      <c r="A178" s="83" t="s">
        <v>174</v>
      </c>
      <c r="B178" s="84" t="s">
        <v>678</v>
      </c>
      <c r="C178" s="95" t="str">
        <f t="shared" si="35"/>
        <v>CTXSUS EQUITY</v>
      </c>
      <c r="D178" s="96">
        <v>0.77815658103007423</v>
      </c>
      <c r="E178" s="96">
        <v>0.22184341896992574</v>
      </c>
      <c r="F178" s="86">
        <f>_xlfn.XLOOKUP(Table22[[#This Row],[Ticker]],D!B:B,D!D:D,"not found")</f>
        <v>11640000000</v>
      </c>
      <c r="G178" s="87">
        <v>18.580939999999998</v>
      </c>
      <c r="H178" s="92">
        <v>9.7542760000000008</v>
      </c>
      <c r="I178" s="93">
        <v>16.804590000000001</v>
      </c>
      <c r="J178" s="93">
        <v>23.740449999999999</v>
      </c>
      <c r="K178" s="94">
        <v>18.056830000000001</v>
      </c>
      <c r="N178" s="1">
        <f>D!E176</f>
        <v>1.2894485443658539E-3</v>
      </c>
      <c r="O178" s="25">
        <f t="shared" si="25"/>
        <v>2.3959166035949268E-2</v>
      </c>
      <c r="P178" s="17">
        <f t="shared" si="26"/>
        <v>1.2577636989542786E-2</v>
      </c>
      <c r="Q178" s="22">
        <f t="shared" si="27"/>
        <v>2.1668654114164985E-2</v>
      </c>
      <c r="R178" s="22">
        <f t="shared" si="28"/>
        <v>3.0612088695090335E-2</v>
      </c>
      <c r="S178" s="26">
        <f t="shared" si="29"/>
        <v>2.3283353159361683E-2</v>
      </c>
      <c r="V178">
        <f t="shared" si="14"/>
        <v>4.7393364928909956E-3</v>
      </c>
      <c r="W178" s="25">
        <f t="shared" si="30"/>
        <v>8.806132701421801E-2</v>
      </c>
      <c r="X178" s="17">
        <f t="shared" si="31"/>
        <v>4.6228796208530813E-2</v>
      </c>
      <c r="Y178" s="22">
        <f t="shared" si="32"/>
        <v>7.9642606635071098E-2</v>
      </c>
      <c r="Z178" s="22">
        <f t="shared" si="33"/>
        <v>0.11251398104265403</v>
      </c>
      <c r="AA178" s="26">
        <f t="shared" si="34"/>
        <v>8.5577393364928922E-2</v>
      </c>
    </row>
    <row r="179" spans="1:27" x14ac:dyDescent="0.35">
      <c r="A179" s="83" t="s">
        <v>424</v>
      </c>
      <c r="B179" s="84" t="s">
        <v>919</v>
      </c>
      <c r="C179" s="95" t="str">
        <f t="shared" si="35"/>
        <v>NOWUS EQUITY</v>
      </c>
      <c r="D179" s="96">
        <v>0.86720779220779221</v>
      </c>
      <c r="E179" s="96">
        <v>0.13279220779220779</v>
      </c>
      <c r="F179" s="86">
        <f>_xlfn.XLOOKUP(Table22[[#This Row],[Ticker]],D!B:B,D!D:D,"not found")</f>
        <v>13920000000</v>
      </c>
      <c r="G179" s="87">
        <v>94.966700000000003</v>
      </c>
      <c r="H179" s="92">
        <v>58.56221</v>
      </c>
      <c r="I179" s="93">
        <v>36.551879999999997</v>
      </c>
      <c r="J179" s="93">
        <v>75.396820000000005</v>
      </c>
      <c r="K179" s="94">
        <v>-14.117369999999999</v>
      </c>
      <c r="N179" s="1">
        <f>D!E177</f>
        <v>1.5420209396540109E-3</v>
      </c>
      <c r="O179" s="25">
        <f t="shared" si="25"/>
        <v>0.14644063996984055</v>
      </c>
      <c r="P179" s="17">
        <f t="shared" si="26"/>
        <v>9.0304154092415517E-2</v>
      </c>
      <c r="Q179" s="22">
        <f t="shared" si="27"/>
        <v>5.6363764343720646E-2</v>
      </c>
      <c r="R179" s="22">
        <f t="shared" si="28"/>
        <v>0.11626347522332434</v>
      </c>
      <c r="S179" s="26">
        <f t="shared" si="29"/>
        <v>-2.1769280152843344E-2</v>
      </c>
      <c r="V179">
        <f t="shared" si="14"/>
        <v>4.7393364928909956E-3</v>
      </c>
      <c r="W179" s="25">
        <f t="shared" si="30"/>
        <v>0.45007914691943135</v>
      </c>
      <c r="X179" s="17">
        <f t="shared" si="31"/>
        <v>0.27754601895734599</v>
      </c>
      <c r="Y179" s="22">
        <f t="shared" si="32"/>
        <v>0.17323165876777252</v>
      </c>
      <c r="Z179" s="22">
        <f t="shared" si="33"/>
        <v>0.35733090047393368</v>
      </c>
      <c r="AA179" s="26">
        <f t="shared" si="34"/>
        <v>-6.6906966824644545E-2</v>
      </c>
    </row>
    <row r="180" spans="1:27" x14ac:dyDescent="0.35">
      <c r="A180" s="83" t="s">
        <v>466</v>
      </c>
      <c r="B180" s="84" t="s">
        <v>953</v>
      </c>
      <c r="C180" s="95" t="str">
        <f t="shared" si="35"/>
        <v>ULTAUS EQUITY</v>
      </c>
      <c r="D180" s="96">
        <v>0.9869892121608369</v>
      </c>
      <c r="E180" s="96">
        <v>1.3010787839163125E-2</v>
      </c>
      <c r="F180" s="86">
        <f>_xlfn.XLOOKUP(Table22[[#This Row],[Ticker]],D!B:B,D!D:D,"not found")</f>
        <v>11780000000</v>
      </c>
      <c r="G180" s="87">
        <v>13.4392</v>
      </c>
      <c r="H180" s="92">
        <v>3.3899550000000001</v>
      </c>
      <c r="I180" s="93">
        <v>9.4697239999999994</v>
      </c>
      <c r="J180" s="93">
        <v>-12.269539999999999</v>
      </c>
      <c r="K180" s="94">
        <v>37.805390000000003</v>
      </c>
      <c r="N180" s="1">
        <f>D!E178</f>
        <v>1.3049573756554775E-3</v>
      </c>
      <c r="O180" s="25">
        <f t="shared" si="25"/>
        <v>1.7537583162909091E-2</v>
      </c>
      <c r="P180" s="17">
        <f t="shared" si="26"/>
        <v>4.4237467803901641E-3</v>
      </c>
      <c r="Q180" s="22">
        <f t="shared" si="27"/>
        <v>1.235758617922169E-2</v>
      </c>
      <c r="R180" s="22">
        <f t="shared" si="28"/>
        <v>-1.6011226718899905E-2</v>
      </c>
      <c r="S180" s="26">
        <f t="shared" si="29"/>
        <v>4.9334422520031833E-2</v>
      </c>
      <c r="V180">
        <f t="shared" si="14"/>
        <v>4.7393364928909956E-3</v>
      </c>
      <c r="W180" s="25">
        <f t="shared" si="30"/>
        <v>6.3692890995260668E-2</v>
      </c>
      <c r="X180" s="17">
        <f t="shared" si="31"/>
        <v>1.6066137440758296E-2</v>
      </c>
      <c r="Y180" s="22">
        <f t="shared" si="32"/>
        <v>4.4880208530805689E-2</v>
      </c>
      <c r="Z180" s="22">
        <f t="shared" si="33"/>
        <v>-5.8149478672985783E-2</v>
      </c>
      <c r="AA180" s="26">
        <f t="shared" si="34"/>
        <v>0.17917246445497634</v>
      </c>
    </row>
    <row r="181" spans="1:27" x14ac:dyDescent="0.35">
      <c r="A181" s="83" t="s">
        <v>467</v>
      </c>
      <c r="B181" s="84" t="s">
        <v>954</v>
      </c>
      <c r="C181" s="95" t="str">
        <f t="shared" si="35"/>
        <v>UAAUS EQUITY</v>
      </c>
      <c r="D181" s="96">
        <v>0.89928656361474435</v>
      </c>
      <c r="E181" s="96">
        <v>0.10071343638525565</v>
      </c>
      <c r="F181" s="86">
        <f>_xlfn.XLOOKUP(Table22[[#This Row],[Ticker]],D!B:B,D!D:D,"not found")</f>
        <v>16030000000.000002</v>
      </c>
      <c r="G181" s="87">
        <v>-20.509250000000002</v>
      </c>
      <c r="H181" s="92">
        <v>22.241099999999999</v>
      </c>
      <c r="I181" s="93">
        <v>22.453220000000002</v>
      </c>
      <c r="J181" s="93">
        <v>-50.327010000000001</v>
      </c>
      <c r="K181" s="94">
        <v>-30.237300000000001</v>
      </c>
      <c r="N181" s="1">
        <f>D!E179</f>
        <v>1.7757611826619106E-3</v>
      </c>
      <c r="O181" s="25">
        <f t="shared" si="25"/>
        <v>-3.6419530035508796E-2</v>
      </c>
      <c r="P181" s="17">
        <f t="shared" si="26"/>
        <v>3.949488203970182E-2</v>
      </c>
      <c r="Q181" s="22">
        <f t="shared" si="27"/>
        <v>3.9871556501768067E-2</v>
      </c>
      <c r="R181" s="22">
        <f t="shared" si="28"/>
        <v>-8.9368750797437807E-2</v>
      </c>
      <c r="S181" s="26">
        <f t="shared" si="29"/>
        <v>-5.369422360850299E-2</v>
      </c>
      <c r="V181">
        <f t="shared" si="14"/>
        <v>4.7393364928909956E-3</v>
      </c>
      <c r="W181" s="25">
        <f t="shared" si="30"/>
        <v>-9.7200236966824657E-2</v>
      </c>
      <c r="X181" s="17">
        <f t="shared" si="31"/>
        <v>0.10540805687203791</v>
      </c>
      <c r="Y181" s="22">
        <f t="shared" si="32"/>
        <v>0.10641336492890997</v>
      </c>
      <c r="Z181" s="22">
        <f t="shared" si="33"/>
        <v>-0.23851663507109008</v>
      </c>
      <c r="AA181" s="26">
        <f t="shared" si="34"/>
        <v>-0.1433047393364929</v>
      </c>
    </row>
    <row r="182" spans="1:27" x14ac:dyDescent="0.35">
      <c r="A182" s="83" t="s">
        <v>142</v>
      </c>
      <c r="B182" s="84" t="s">
        <v>646</v>
      </c>
      <c r="C182" s="95" t="str">
        <f t="shared" si="35"/>
        <v>BXPUS EQUITY</v>
      </c>
      <c r="D182" s="96">
        <v>0.68082144845603665</v>
      </c>
      <c r="E182" s="96">
        <v>0.31917855154396335</v>
      </c>
      <c r="F182" s="86">
        <f>_xlfn.XLOOKUP(Table22[[#This Row],[Ticker]],D!B:B,D!D:D,"not found")</f>
        <v>19590000000</v>
      </c>
      <c r="G182" s="87">
        <v>-28.35492</v>
      </c>
      <c r="H182" s="92">
        <v>26.079029999999999</v>
      </c>
      <c r="I182" s="93">
        <v>-10.884130000000001</v>
      </c>
      <c r="J182" s="93">
        <v>5.8945780000000001</v>
      </c>
      <c r="K182" s="94">
        <v>0.70642229999999995</v>
      </c>
      <c r="N182" s="1">
        <f>D!E180</f>
        <v>2.1701286068837697E-3</v>
      </c>
      <c r="O182" s="25">
        <f t="shared" si="25"/>
        <v>-6.1533823037900739E-2</v>
      </c>
      <c r="P182" s="17">
        <f t="shared" si="26"/>
        <v>5.6594849042780032E-2</v>
      </c>
      <c r="Q182" s="22">
        <f t="shared" si="27"/>
        <v>-2.3619961874041848E-2</v>
      </c>
      <c r="R182" s="22">
        <f t="shared" si="28"/>
        <v>1.2791992343307718E-2</v>
      </c>
      <c r="S182" s="26">
        <f t="shared" si="29"/>
        <v>1.5330272417706282E-3</v>
      </c>
      <c r="V182">
        <f t="shared" si="14"/>
        <v>4.7393364928909956E-3</v>
      </c>
      <c r="W182" s="25">
        <f t="shared" si="30"/>
        <v>-0.13438350710900476</v>
      </c>
      <c r="X182" s="17">
        <f t="shared" si="31"/>
        <v>0.12359729857819905</v>
      </c>
      <c r="Y182" s="22">
        <f t="shared" si="32"/>
        <v>-5.1583554502369677E-2</v>
      </c>
      <c r="Z182" s="22">
        <f t="shared" si="33"/>
        <v>2.7936388625592421E-2</v>
      </c>
      <c r="AA182" s="26">
        <f t="shared" si="34"/>
        <v>3.3479729857819906E-3</v>
      </c>
    </row>
    <row r="183" spans="1:27" x14ac:dyDescent="0.35">
      <c r="A183" s="83" t="s">
        <v>82</v>
      </c>
      <c r="B183" s="84" t="s">
        <v>82</v>
      </c>
      <c r="C183" s="95" t="str">
        <f t="shared" si="35"/>
        <v>ADPUS EQUITY</v>
      </c>
      <c r="D183" s="96">
        <v>0.69140461215932913</v>
      </c>
      <c r="E183" s="96">
        <v>0.30859538784067087</v>
      </c>
      <c r="F183" s="86">
        <f>_xlfn.XLOOKUP(Table22[[#This Row],[Ticker]],D!B:B,D!D:D,"not found")</f>
        <v>38860000000</v>
      </c>
      <c r="G183" s="87">
        <v>6.0199379999999998</v>
      </c>
      <c r="H183" s="92">
        <v>32.709820000000001</v>
      </c>
      <c r="I183" s="93">
        <v>14.24644</v>
      </c>
      <c r="J183" s="93">
        <v>16.527760000000001</v>
      </c>
      <c r="K183" s="94">
        <v>24.25433</v>
      </c>
      <c r="N183" s="1">
        <f>D!E181</f>
        <v>4.3048084565341137E-3</v>
      </c>
      <c r="O183" s="25">
        <f t="shared" si="25"/>
        <v>2.591468001021106E-2</v>
      </c>
      <c r="P183" s="17">
        <f t="shared" si="26"/>
        <v>0.14080950974770867</v>
      </c>
      <c r="Q183" s="22">
        <f t="shared" si="27"/>
        <v>6.1328195387505856E-2</v>
      </c>
      <c r="R183" s="22">
        <f t="shared" si="28"/>
        <v>7.1148841015566261E-2</v>
      </c>
      <c r="S183" s="26">
        <f t="shared" si="29"/>
        <v>0.10441024489156905</v>
      </c>
      <c r="V183">
        <f t="shared" si="14"/>
        <v>4.7393364928909956E-3</v>
      </c>
      <c r="W183" s="25">
        <f t="shared" si="30"/>
        <v>2.8530511848341232E-2</v>
      </c>
      <c r="X183" s="17">
        <f t="shared" si="31"/>
        <v>0.15502284360189575</v>
      </c>
      <c r="Y183" s="22">
        <f t="shared" si="32"/>
        <v>6.7518672985781999E-2</v>
      </c>
      <c r="Z183" s="22">
        <f t="shared" si="33"/>
        <v>7.8330616113744089E-2</v>
      </c>
      <c r="AA183" s="26">
        <f t="shared" si="34"/>
        <v>0.11494943127962086</v>
      </c>
    </row>
    <row r="184" spans="1:27" x14ac:dyDescent="0.35">
      <c r="A184" s="83" t="s">
        <v>399</v>
      </c>
      <c r="B184" s="84" t="s">
        <v>895</v>
      </c>
      <c r="C184" s="95" t="str">
        <f t="shared" si="35"/>
        <v>PLDUS EQUITY</v>
      </c>
      <c r="D184" s="96">
        <v>0.78608998085210513</v>
      </c>
      <c r="E184" s="96">
        <v>0.21391001914789493</v>
      </c>
      <c r="F184" s="86">
        <f>_xlfn.XLOOKUP(Table22[[#This Row],[Ticker]],D!B:B,D!D:D,"not found")</f>
        <v>22510000000</v>
      </c>
      <c r="G184" s="87">
        <v>14.628399999999999</v>
      </c>
      <c r="H184" s="92">
        <v>55.85201</v>
      </c>
      <c r="I184" s="93">
        <v>-6.2130450000000002</v>
      </c>
      <c r="J184" s="93">
        <v>25.910810000000001</v>
      </c>
      <c r="K184" s="94">
        <v>27.322669999999999</v>
      </c>
      <c r="N184" s="1">
        <f>D!E182</f>
        <v>2.4935985166387774E-3</v>
      </c>
      <c r="O184" s="25">
        <f t="shared" si="25"/>
        <v>3.6477356540798686E-2</v>
      </c>
      <c r="P184" s="17">
        <f t="shared" si="26"/>
        <v>0.13927248928729416</v>
      </c>
      <c r="Q184" s="22">
        <f t="shared" si="27"/>
        <v>-1.5492839795809973E-2</v>
      </c>
      <c r="R184" s="22">
        <f t="shared" si="28"/>
        <v>6.4611157380909209E-2</v>
      </c>
      <c r="S184" s="26">
        <f t="shared" si="29"/>
        <v>6.8131769382610827E-2</v>
      </c>
      <c r="V184">
        <f t="shared" si="14"/>
        <v>4.7393364928909956E-3</v>
      </c>
      <c r="W184" s="25">
        <f t="shared" si="30"/>
        <v>6.932890995260664E-2</v>
      </c>
      <c r="X184" s="17">
        <f t="shared" si="31"/>
        <v>0.26470146919431281</v>
      </c>
      <c r="Y184" s="22">
        <f t="shared" si="32"/>
        <v>-2.9445710900473935E-2</v>
      </c>
      <c r="Z184" s="22">
        <f t="shared" si="33"/>
        <v>0.12280004739336495</v>
      </c>
      <c r="AA184" s="26">
        <f t="shared" si="34"/>
        <v>0.12949132701421801</v>
      </c>
    </row>
    <row r="185" spans="1:27" x14ac:dyDescent="0.35">
      <c r="A185" s="83" t="s">
        <v>39</v>
      </c>
      <c r="B185" s="84" t="s">
        <v>549</v>
      </c>
      <c r="C185" s="95" t="str">
        <f t="shared" si="35"/>
        <v>MCOUS EQUITY</v>
      </c>
      <c r="D185" s="96">
        <v>0.94425028184892901</v>
      </c>
      <c r="E185" s="96">
        <v>5.5749718151071027E-2</v>
      </c>
      <c r="F185" s="86">
        <f>_xlfn.XLOOKUP(Table22[[#This Row],[Ticker]],D!B:B,D!D:D,"not found")</f>
        <v>19670000000</v>
      </c>
      <c r="G185" s="87">
        <v>23.276450000000001</v>
      </c>
      <c r="H185" s="92">
        <v>71.251589999999993</v>
      </c>
      <c r="I185" s="93">
        <v>-4.1045249999999998</v>
      </c>
      <c r="J185" s="93">
        <v>58.514560000000003</v>
      </c>
      <c r="K185" s="94">
        <v>-4.5893069999999998</v>
      </c>
      <c r="N185" s="1">
        <f>D!E183</f>
        <v>2.1789907961921261E-3</v>
      </c>
      <c r="O185" s="25">
        <f t="shared" si="25"/>
        <v>5.0719170318026217E-2</v>
      </c>
      <c r="P185" s="17">
        <f t="shared" si="26"/>
        <v>0.15525655882405492</v>
      </c>
      <c r="Q185" s="22">
        <f t="shared" si="27"/>
        <v>-8.9437221977404866E-3</v>
      </c>
      <c r="R185" s="22">
        <f t="shared" si="28"/>
        <v>0.12750268768323195</v>
      </c>
      <c r="S185" s="26">
        <f t="shared" si="29"/>
        <v>-1.0000057713900097E-2</v>
      </c>
      <c r="V185">
        <f t="shared" si="14"/>
        <v>4.7393364928909956E-3</v>
      </c>
      <c r="W185" s="25">
        <f t="shared" si="30"/>
        <v>0.11031492890995262</v>
      </c>
      <c r="X185" s="17">
        <f t="shared" si="31"/>
        <v>0.33768526066350713</v>
      </c>
      <c r="Y185" s="22">
        <f t="shared" si="32"/>
        <v>-1.9452725118483411E-2</v>
      </c>
      <c r="Z185" s="22">
        <f t="shared" si="33"/>
        <v>0.27732018957345977</v>
      </c>
      <c r="AA185" s="26">
        <f t="shared" si="34"/>
        <v>-2.1750270142180096E-2</v>
      </c>
    </row>
    <row r="186" spans="1:27" x14ac:dyDescent="0.35">
      <c r="A186" s="83" t="s">
        <v>428</v>
      </c>
      <c r="B186" s="84" t="s">
        <v>429</v>
      </c>
      <c r="C186" s="95" t="str">
        <f t="shared" si="35"/>
        <v>SLGUS EQUITY</v>
      </c>
      <c r="D186" s="96">
        <v>0.96086956521739131</v>
      </c>
      <c r="E186" s="96">
        <v>3.9130434782608699E-2</v>
      </c>
      <c r="F186" s="86">
        <f>_xlfn.XLOOKUP(Table22[[#This Row],[Ticker]],D!B:B,D!D:D,"not found")</f>
        <v>11300000000</v>
      </c>
      <c r="G186" s="87">
        <v>-29.15307</v>
      </c>
      <c r="H186" s="92">
        <v>20.924009999999999</v>
      </c>
      <c r="I186" s="93">
        <v>-18.819669999999999</v>
      </c>
      <c r="J186" s="93">
        <v>-3.266114</v>
      </c>
      <c r="K186" s="94">
        <v>-2.0559850000000002</v>
      </c>
      <c r="N186" s="1">
        <f>D!E184</f>
        <v>1.2517842398053394E-3</v>
      </c>
      <c r="O186" s="25">
        <f t="shared" si="25"/>
        <v>-3.6493353567941846E-2</v>
      </c>
      <c r="P186" s="17">
        <f t="shared" si="26"/>
        <v>2.6192345951529316E-2</v>
      </c>
      <c r="Q186" s="22">
        <f t="shared" si="27"/>
        <v>-2.3558166304337349E-2</v>
      </c>
      <c r="R186" s="22">
        <f t="shared" si="28"/>
        <v>-4.0884700306075758E-3</v>
      </c>
      <c r="S186" s="26">
        <f t="shared" si="29"/>
        <v>-2.573649620276181E-3</v>
      </c>
      <c r="V186">
        <f t="shared" si="14"/>
        <v>4.7393364928909956E-3</v>
      </c>
      <c r="W186" s="25">
        <f t="shared" si="30"/>
        <v>-0.13816620853080569</v>
      </c>
      <c r="X186" s="17">
        <f t="shared" si="31"/>
        <v>9.9165924170616121E-2</v>
      </c>
      <c r="Y186" s="22">
        <f t="shared" si="32"/>
        <v>-8.9192748815165881E-2</v>
      </c>
      <c r="Z186" s="22">
        <f t="shared" si="33"/>
        <v>-1.5479213270142182E-2</v>
      </c>
      <c r="AA186" s="26">
        <f t="shared" si="34"/>
        <v>-9.7440047393364936E-3</v>
      </c>
    </row>
    <row r="187" spans="1:27" x14ac:dyDescent="0.35">
      <c r="A187" s="83" t="s">
        <v>313</v>
      </c>
      <c r="B187" s="84" t="s">
        <v>810</v>
      </c>
      <c r="C187" s="95" t="str">
        <f t="shared" si="35"/>
        <v>KLACUS EQUITY</v>
      </c>
      <c r="D187" s="96">
        <v>0.94791769439054607</v>
      </c>
      <c r="E187" s="96">
        <v>5.2082305609453962E-2</v>
      </c>
      <c r="F187" s="86">
        <f>_xlfn.XLOOKUP(Table22[[#This Row],[Ticker]],D!B:B,D!D:D,"not found")</f>
        <v>10810000000</v>
      </c>
      <c r="G187" s="87">
        <v>47.982669999999999</v>
      </c>
      <c r="H187" s="92">
        <v>103.9858</v>
      </c>
      <c r="I187" s="93">
        <v>-12.5411</v>
      </c>
      <c r="J187" s="93">
        <v>36.759039999999999</v>
      </c>
      <c r="K187" s="94">
        <v>16.985569999999999</v>
      </c>
      <c r="N187" s="1">
        <f>D!E185</f>
        <v>1.1975033302916564E-3</v>
      </c>
      <c r="O187" s="25">
        <f t="shared" si="25"/>
        <v>5.7459407121285548E-2</v>
      </c>
      <c r="P187" s="17">
        <f t="shared" si="26"/>
        <v>0.12452334180304211</v>
      </c>
      <c r="Q187" s="22">
        <f t="shared" si="27"/>
        <v>-1.5018009015520691E-2</v>
      </c>
      <c r="R187" s="22">
        <f t="shared" si="28"/>
        <v>4.4019072818324206E-2</v>
      </c>
      <c r="S187" s="26">
        <f t="shared" si="29"/>
        <v>2.034027664190205E-2</v>
      </c>
      <c r="V187">
        <f t="shared" si="14"/>
        <v>4.7393364928909956E-3</v>
      </c>
      <c r="W187" s="25">
        <f t="shared" si="30"/>
        <v>0.227406018957346</v>
      </c>
      <c r="X187" s="17">
        <f t="shared" si="31"/>
        <v>0.49282369668246451</v>
      </c>
      <c r="Y187" s="22">
        <f t="shared" si="32"/>
        <v>-5.9436492890995264E-2</v>
      </c>
      <c r="Z187" s="22">
        <f t="shared" si="33"/>
        <v>0.17421345971563981</v>
      </c>
      <c r="AA187" s="26">
        <f t="shared" si="34"/>
        <v>8.0500331753554505E-2</v>
      </c>
    </row>
    <row r="188" spans="1:27" x14ac:dyDescent="0.35">
      <c r="A188" s="83" t="s">
        <v>258</v>
      </c>
      <c r="B188" s="84" t="s">
        <v>756</v>
      </c>
      <c r="C188" s="95" t="str">
        <f t="shared" si="35"/>
        <v>ITUS EQUITY</v>
      </c>
      <c r="D188" s="96">
        <v>0.90216347000266595</v>
      </c>
      <c r="E188" s="96">
        <v>9.7836529997334012E-2</v>
      </c>
      <c r="F188" s="86">
        <f>_xlfn.XLOOKUP(Table22[[#This Row],[Ticker]],D!B:B,D!D:D,"not found")</f>
        <v>7470000000</v>
      </c>
      <c r="G188" s="87">
        <v>3.9519669999999998</v>
      </c>
      <c r="H188" s="92">
        <v>20.5413</v>
      </c>
      <c r="I188" s="93">
        <v>3.8083670000000001</v>
      </c>
      <c r="J188" s="93">
        <v>21.846219999999999</v>
      </c>
      <c r="K188" s="94">
        <v>11.43329</v>
      </c>
      <c r="N188" s="1">
        <f>D!E186</f>
        <v>8.2750692666777733E-4</v>
      </c>
      <c r="O188" s="25">
        <f t="shared" si="25"/>
        <v>3.2702800664624757E-3</v>
      </c>
      <c r="P188" s="17">
        <f t="shared" si="26"/>
        <v>1.6998068032760813E-2</v>
      </c>
      <c r="Q188" s="22">
        <f t="shared" si="27"/>
        <v>3.1514500717929831E-3</v>
      </c>
      <c r="R188" s="22">
        <f t="shared" si="28"/>
        <v>1.8077898371508128E-2</v>
      </c>
      <c r="S188" s="26">
        <f t="shared" si="29"/>
        <v>9.4611266696014319E-3</v>
      </c>
      <c r="V188">
        <f t="shared" si="14"/>
        <v>4.7393364928909956E-3</v>
      </c>
      <c r="W188" s="25">
        <f t="shared" si="30"/>
        <v>1.872970142180095E-2</v>
      </c>
      <c r="X188" s="17">
        <f t="shared" si="31"/>
        <v>9.7352132701421804E-2</v>
      </c>
      <c r="Y188" s="22">
        <f t="shared" si="32"/>
        <v>1.8049132701421802E-2</v>
      </c>
      <c r="Z188" s="22">
        <f t="shared" si="33"/>
        <v>0.10353658767772513</v>
      </c>
      <c r="AA188" s="26">
        <f t="shared" si="34"/>
        <v>5.4186208530805691E-2</v>
      </c>
    </row>
    <row r="189" spans="1:27" x14ac:dyDescent="0.35">
      <c r="A189" s="83" t="s">
        <v>297</v>
      </c>
      <c r="B189" s="84" t="s">
        <v>794</v>
      </c>
      <c r="C189" s="95" t="str">
        <f t="shared" si="35"/>
        <v>IQVUS EQUITY</v>
      </c>
      <c r="D189" s="96">
        <v>0.89663757998836535</v>
      </c>
      <c r="E189" s="96">
        <v>0.10336242001163468</v>
      </c>
      <c r="F189" s="86">
        <f>_xlfn.XLOOKUP(Table22[[#This Row],[Ticker]],D!B:B,D!D:D,"not found")</f>
        <v>8199999999.999999</v>
      </c>
      <c r="G189" s="87">
        <v>15.960129999999999</v>
      </c>
      <c r="H189" s="92">
        <v>33.003349999999998</v>
      </c>
      <c r="I189" s="93">
        <v>18.66189</v>
      </c>
      <c r="J189" s="93">
        <v>28.731079999999999</v>
      </c>
      <c r="K189" s="94">
        <v>10.76318</v>
      </c>
      <c r="N189" s="1">
        <f>D!E187</f>
        <v>9.0837440410652926E-4</v>
      </c>
      <c r="O189" s="25">
        <f t="shared" si="25"/>
        <v>1.449777357821274E-2</v>
      </c>
      <c r="P189" s="17">
        <f t="shared" si="26"/>
        <v>2.9979398389769221E-2</v>
      </c>
      <c r="Q189" s="22">
        <f t="shared" si="27"/>
        <v>1.6951983208251597E-2</v>
      </c>
      <c r="R189" s="22">
        <f t="shared" si="28"/>
        <v>2.6098577674337018E-2</v>
      </c>
      <c r="S189" s="26">
        <f t="shared" si="29"/>
        <v>9.776997218791314E-3</v>
      </c>
      <c r="V189">
        <f t="shared" si="14"/>
        <v>4.7393364928909956E-3</v>
      </c>
      <c r="W189" s="25">
        <f t="shared" si="30"/>
        <v>7.564042654028437E-2</v>
      </c>
      <c r="X189" s="17">
        <f t="shared" si="31"/>
        <v>0.15641398104265403</v>
      </c>
      <c r="Y189" s="22">
        <f t="shared" si="32"/>
        <v>8.8444976303317546E-2</v>
      </c>
      <c r="Z189" s="22">
        <f t="shared" si="33"/>
        <v>0.13616625592417061</v>
      </c>
      <c r="AA189" s="26">
        <f t="shared" si="34"/>
        <v>5.1010331753554509E-2</v>
      </c>
    </row>
    <row r="190" spans="1:27" x14ac:dyDescent="0.35">
      <c r="A190" s="83" t="s">
        <v>439</v>
      </c>
      <c r="B190" s="84" t="s">
        <v>932</v>
      </c>
      <c r="C190" s="95" t="str">
        <f t="shared" si="35"/>
        <v>SNPSUS EQUITY</v>
      </c>
      <c r="D190" s="96">
        <v>0.93591481122942888</v>
      </c>
      <c r="E190" s="96">
        <v>6.408518877057115E-2</v>
      </c>
      <c r="F190" s="86">
        <f>_xlfn.XLOOKUP(Table22[[#This Row],[Ticker]],D!B:B,D!D:D,"not found")</f>
        <v>6910000000</v>
      </c>
      <c r="G190" s="87">
        <v>86.235600000000005</v>
      </c>
      <c r="H190" s="92">
        <v>65.242159999999998</v>
      </c>
      <c r="I190" s="93">
        <v>-1.1731560000000001</v>
      </c>
      <c r="J190" s="93">
        <v>44.818199999999997</v>
      </c>
      <c r="K190" s="94">
        <v>29.050660000000001</v>
      </c>
      <c r="N190" s="1">
        <f>D!E188</f>
        <v>7.6547160150928269E-4</v>
      </c>
      <c r="O190" s="25">
        <f t="shared" si="25"/>
        <v>6.60109028391139E-2</v>
      </c>
      <c r="P190" s="17">
        <f t="shared" si="26"/>
        <v>4.9941020701124862E-2</v>
      </c>
      <c r="Q190" s="22">
        <f t="shared" si="27"/>
        <v>-8.9801760214022416E-4</v>
      </c>
      <c r="R190" s="22">
        <f t="shared" si="28"/>
        <v>3.4307059330763334E-2</v>
      </c>
      <c r="S190" s="26">
        <f t="shared" si="29"/>
        <v>2.223745523510166E-2</v>
      </c>
      <c r="V190">
        <f t="shared" si="14"/>
        <v>4.7393364928909956E-3</v>
      </c>
      <c r="W190" s="25">
        <f t="shared" si="30"/>
        <v>0.40869952606635079</v>
      </c>
      <c r="X190" s="17">
        <f t="shared" si="31"/>
        <v>0.30920454976303319</v>
      </c>
      <c r="Y190" s="22">
        <f t="shared" si="32"/>
        <v>-5.559981042654029E-3</v>
      </c>
      <c r="Z190" s="22">
        <f t="shared" si="33"/>
        <v>0.2124085308056872</v>
      </c>
      <c r="AA190" s="26">
        <f t="shared" si="34"/>
        <v>0.13768085308056874</v>
      </c>
    </row>
    <row r="191" spans="1:27" x14ac:dyDescent="0.35">
      <c r="A191" s="83" t="s">
        <v>80</v>
      </c>
      <c r="B191" s="84" t="s">
        <v>585</v>
      </c>
      <c r="C191" s="95" t="str">
        <f t="shared" si="35"/>
        <v>ATVIUS EQUITY</v>
      </c>
      <c r="D191" s="96">
        <v>0.5628989254261938</v>
      </c>
      <c r="E191" s="96">
        <v>0.43710107457380626</v>
      </c>
      <c r="F191" s="86">
        <f>_xlfn.XLOOKUP(Table22[[#This Row],[Ticker]],D!B:B,D!D:D,"not found")</f>
        <v>28430000000</v>
      </c>
      <c r="G191" s="87">
        <v>57.272970000000001</v>
      </c>
      <c r="H191" s="92">
        <v>28.629960000000001</v>
      </c>
      <c r="I191" s="93">
        <v>-26.073899999999998</v>
      </c>
      <c r="J191" s="93">
        <v>76.410269999999997</v>
      </c>
      <c r="K191" s="94">
        <v>-5.9619780000000002</v>
      </c>
      <c r="N191" s="1">
        <f>D!E189</f>
        <v>3.1494005254571501E-3</v>
      </c>
      <c r="O191" s="25">
        <f t="shared" si="25"/>
        <v>0.18037552181249158</v>
      </c>
      <c r="P191" s="17">
        <f t="shared" si="26"/>
        <v>9.0167211067817193E-2</v>
      </c>
      <c r="Q191" s="22">
        <f t="shared" si="27"/>
        <v>-8.2117154360717176E-2</v>
      </c>
      <c r="R191" s="22">
        <f t="shared" si="28"/>
        <v>0.24064654448832271</v>
      </c>
      <c r="S191" s="26">
        <f t="shared" si="29"/>
        <v>-1.8776656645963969E-2</v>
      </c>
      <c r="V191">
        <f t="shared" si="14"/>
        <v>4.7393364928909956E-3</v>
      </c>
      <c r="W191" s="25">
        <f t="shared" si="30"/>
        <v>0.27143587677725123</v>
      </c>
      <c r="X191" s="17">
        <f t="shared" si="31"/>
        <v>0.13568701421800949</v>
      </c>
      <c r="Y191" s="22">
        <f t="shared" si="32"/>
        <v>-0.12357298578199052</v>
      </c>
      <c r="Z191" s="22">
        <f t="shared" si="33"/>
        <v>0.36213398104265404</v>
      </c>
      <c r="AA191" s="26">
        <f t="shared" si="34"/>
        <v>-2.8255819905213274E-2</v>
      </c>
    </row>
    <row r="192" spans="1:27" x14ac:dyDescent="0.35">
      <c r="A192" s="83" t="s">
        <v>286</v>
      </c>
      <c r="B192" s="84" t="s">
        <v>783</v>
      </c>
      <c r="C192" s="95" t="str">
        <f t="shared" si="35"/>
        <v>INFOUS EQUITY</v>
      </c>
      <c r="D192" s="96">
        <v>0.90474976633528759</v>
      </c>
      <c r="E192" s="96">
        <v>9.5250233664712386E-2</v>
      </c>
      <c r="F192" s="86">
        <f>_xlfn.XLOOKUP(Table22[[#This Row],[Ticker]],D!B:B,D!D:D,"not found")</f>
        <v>7950000000</v>
      </c>
      <c r="G192" s="87">
        <v>20.274349999999998</v>
      </c>
      <c r="H192" s="92">
        <v>57.077309999999997</v>
      </c>
      <c r="I192" s="93">
        <v>6.2458520000000002</v>
      </c>
      <c r="J192" s="93">
        <v>27.50639</v>
      </c>
      <c r="K192" s="94">
        <v>17.368230000000001</v>
      </c>
      <c r="N192" s="1">
        <f>D!E190</f>
        <v>8.8068006251791565E-4</v>
      </c>
      <c r="O192" s="25">
        <f t="shared" si="25"/>
        <v>1.7855215825510102E-2</v>
      </c>
      <c r="P192" s="17">
        <f t="shared" si="26"/>
        <v>5.0266848939154452E-2</v>
      </c>
      <c r="Q192" s="22">
        <f t="shared" si="27"/>
        <v>5.5005973298376488E-3</v>
      </c>
      <c r="R192" s="22">
        <f t="shared" si="28"/>
        <v>2.4224329264842168E-2</v>
      </c>
      <c r="S192" s="26">
        <f t="shared" si="29"/>
        <v>1.5295853882225539E-2</v>
      </c>
      <c r="V192">
        <f t="shared" si="14"/>
        <v>4.7393364928909956E-3</v>
      </c>
      <c r="W192" s="25">
        <f t="shared" si="30"/>
        <v>9.6086966824644543E-2</v>
      </c>
      <c r="X192" s="17">
        <f t="shared" si="31"/>
        <v>0.27050857819905216</v>
      </c>
      <c r="Y192" s="22">
        <f t="shared" si="32"/>
        <v>2.9601194312796213E-2</v>
      </c>
      <c r="Z192" s="22">
        <f t="shared" si="33"/>
        <v>0.13036203791469195</v>
      </c>
      <c r="AA192" s="26">
        <f t="shared" si="34"/>
        <v>8.2313886255924174E-2</v>
      </c>
    </row>
    <row r="193" spans="1:27" x14ac:dyDescent="0.35">
      <c r="A193" s="83" t="s">
        <v>125</v>
      </c>
      <c r="B193" s="84" t="s">
        <v>629</v>
      </c>
      <c r="C193" s="95" t="str">
        <f t="shared" si="35"/>
        <v>ADSKUS EQUITY</v>
      </c>
      <c r="D193" s="96">
        <v>0.97304760423148728</v>
      </c>
      <c r="E193" s="96">
        <v>2.6952395768512757E-2</v>
      </c>
      <c r="F193" s="86">
        <f>_xlfn.XLOOKUP(Table22[[#This Row],[Ticker]],D!B:B,D!D:D,"not found")</f>
        <v>13730000000</v>
      </c>
      <c r="G193" s="87">
        <v>66.434100000000001</v>
      </c>
      <c r="H193" s="92">
        <v>42.648319999999998</v>
      </c>
      <c r="I193" s="93">
        <v>22.684339999999999</v>
      </c>
      <c r="J193" s="93">
        <v>41.64302</v>
      </c>
      <c r="K193" s="94">
        <v>21.46726</v>
      </c>
      <c r="N193" s="1">
        <f>D!E191</f>
        <v>1.5209732400466645E-3</v>
      </c>
      <c r="O193" s="25">
        <f t="shared" si="25"/>
        <v>0.10104448832658412</v>
      </c>
      <c r="P193" s="17">
        <f t="shared" si="26"/>
        <v>6.4866953452946963E-2</v>
      </c>
      <c r="Q193" s="22">
        <f t="shared" si="27"/>
        <v>3.4502274108120151E-2</v>
      </c>
      <c r="R193" s="22">
        <f t="shared" si="28"/>
        <v>6.3337919054728048E-2</v>
      </c>
      <c r="S193" s="26">
        <f t="shared" si="29"/>
        <v>3.2651127997124156E-2</v>
      </c>
      <c r="V193">
        <f t="shared" si="14"/>
        <v>4.7393364928909956E-3</v>
      </c>
      <c r="W193" s="25">
        <f t="shared" si="30"/>
        <v>0.31485355450236968</v>
      </c>
      <c r="X193" s="17">
        <f t="shared" si="31"/>
        <v>0.20212473933649289</v>
      </c>
      <c r="Y193" s="22">
        <f t="shared" si="32"/>
        <v>0.10750872037914692</v>
      </c>
      <c r="Z193" s="22">
        <f t="shared" si="33"/>
        <v>0.1973602843601896</v>
      </c>
      <c r="AA193" s="26">
        <f t="shared" si="34"/>
        <v>0.10174056872037915</v>
      </c>
    </row>
    <row r="194" spans="1:27" x14ac:dyDescent="0.35">
      <c r="A194" s="83" t="s">
        <v>325</v>
      </c>
      <c r="B194" s="84" t="s">
        <v>822</v>
      </c>
      <c r="C194" s="95" t="str">
        <f t="shared" si="35"/>
        <v>LYVUS EQUITY</v>
      </c>
      <c r="D194" s="96">
        <v>0.97750504482450629</v>
      </c>
      <c r="E194" s="96">
        <v>2.2494955175493731E-2</v>
      </c>
      <c r="F194" s="86">
        <f>_xlfn.XLOOKUP(Table22[[#This Row],[Ticker]],D!B:B,D!D:D,"not found")</f>
        <v>4980000000</v>
      </c>
      <c r="G194" s="87">
        <v>2.8123619999999998</v>
      </c>
      <c r="H194" s="92">
        <v>45.116759999999999</v>
      </c>
      <c r="I194" s="93">
        <v>15.69183</v>
      </c>
      <c r="J194" s="93">
        <v>60.037610000000001</v>
      </c>
      <c r="K194" s="94">
        <v>8.2620979999999999</v>
      </c>
      <c r="N194" s="1">
        <f>D!E192</f>
        <v>5.5167128444518496E-4</v>
      </c>
      <c r="O194" s="25">
        <f t="shared" si="25"/>
        <v>1.5514993568648292E-3</v>
      </c>
      <c r="P194" s="17">
        <f t="shared" si="26"/>
        <v>2.4889620939205142E-2</v>
      </c>
      <c r="Q194" s="22">
        <f t="shared" si="27"/>
        <v>8.6567320113954856E-3</v>
      </c>
      <c r="R194" s="22">
        <f t="shared" si="28"/>
        <v>3.3121025423719079E-2</v>
      </c>
      <c r="S194" s="26">
        <f t="shared" si="29"/>
        <v>4.5579622158719935E-3</v>
      </c>
      <c r="V194">
        <f t="shared" si="14"/>
        <v>4.7393364928909956E-3</v>
      </c>
      <c r="W194" s="25">
        <f t="shared" si="30"/>
        <v>1.3328729857819905E-2</v>
      </c>
      <c r="X194" s="17">
        <f t="shared" si="31"/>
        <v>0.21382350710900475</v>
      </c>
      <c r="Y194" s="22">
        <f t="shared" si="32"/>
        <v>7.4368862559241716E-2</v>
      </c>
      <c r="Z194" s="22">
        <f t="shared" si="33"/>
        <v>0.2845384360189574</v>
      </c>
      <c r="AA194" s="26">
        <f t="shared" si="34"/>
        <v>3.9156862559241709E-2</v>
      </c>
    </row>
    <row r="195" spans="1:27" x14ac:dyDescent="0.35">
      <c r="A195" s="83" t="s">
        <v>475</v>
      </c>
      <c r="B195" s="84" t="s">
        <v>961</v>
      </c>
      <c r="C195" s="95" t="str">
        <f t="shared" si="35"/>
        <v>VTRUS EQUITY</v>
      </c>
      <c r="D195" s="96">
        <v>0.82132049134561702</v>
      </c>
      <c r="E195" s="96">
        <v>0.17867950865438303</v>
      </c>
      <c r="F195" s="86">
        <f>_xlfn.XLOOKUP(Table22[[#This Row],[Ticker]],D!B:B,D!D:D,"not found")</f>
        <v>18870000000</v>
      </c>
      <c r="G195" s="87">
        <v>-9.711176</v>
      </c>
      <c r="H195" s="92">
        <v>3.4256220000000002</v>
      </c>
      <c r="I195" s="93">
        <v>3.4079549999999998</v>
      </c>
      <c r="J195" s="93">
        <v>0.68191290000000004</v>
      </c>
      <c r="K195" s="94">
        <v>16.14387</v>
      </c>
      <c r="N195" s="1">
        <f>D!E193</f>
        <v>2.0903689031085623E-3</v>
      </c>
      <c r="O195" s="25">
        <f t="shared" si="25"/>
        <v>-2.0299940323014194E-2</v>
      </c>
      <c r="P195" s="17">
        <f t="shared" si="26"/>
        <v>7.1608137026045598E-3</v>
      </c>
      <c r="Q195" s="22">
        <f t="shared" si="27"/>
        <v>7.1238831551933401E-3</v>
      </c>
      <c r="R195" s="22">
        <f t="shared" si="28"/>
        <v>1.4254495207885788E-3</v>
      </c>
      <c r="S195" s="26">
        <f t="shared" si="29"/>
        <v>3.3746643823827228E-2</v>
      </c>
      <c r="V195">
        <f t="shared" si="14"/>
        <v>4.7393364928909956E-3</v>
      </c>
      <c r="W195" s="25">
        <f t="shared" si="30"/>
        <v>-4.6024530805687205E-2</v>
      </c>
      <c r="X195" s="17">
        <f t="shared" si="31"/>
        <v>1.623517535545024E-2</v>
      </c>
      <c r="Y195" s="22">
        <f t="shared" si="32"/>
        <v>1.6151445497630333E-2</v>
      </c>
      <c r="Z195" s="22">
        <f t="shared" si="33"/>
        <v>3.2318146919431286E-3</v>
      </c>
      <c r="AA195" s="26">
        <f t="shared" si="34"/>
        <v>7.6511232227488152E-2</v>
      </c>
    </row>
    <row r="196" spans="1:27" x14ac:dyDescent="0.35">
      <c r="A196" s="83" t="s">
        <v>433</v>
      </c>
      <c r="B196" s="84" t="s">
        <v>926</v>
      </c>
      <c r="C196" s="95" t="str">
        <f t="shared" si="35"/>
        <v>SBUXUS EQUITY</v>
      </c>
      <c r="D196" s="96">
        <v>0.92949999999999999</v>
      </c>
      <c r="E196" s="96">
        <v>7.0499999999999993E-2</v>
      </c>
      <c r="F196" s="86">
        <f>_xlfn.XLOOKUP(Table22[[#This Row],[Ticker]],D!B:B,D!D:D,"not found")</f>
        <v>89180000000</v>
      </c>
      <c r="G196" s="87">
        <v>24.166180000000001</v>
      </c>
      <c r="H196" s="92">
        <v>39.070799999999998</v>
      </c>
      <c r="I196" s="93">
        <v>14.75173</v>
      </c>
      <c r="J196" s="93">
        <v>5.3673149999999996</v>
      </c>
      <c r="K196" s="94">
        <v>-6.121969</v>
      </c>
      <c r="N196" s="1">
        <f>D!E194</f>
        <v>9.8791255314902796E-3</v>
      </c>
      <c r="O196" s="25">
        <f t="shared" si="25"/>
        <v>0.23874072583658978</v>
      </c>
      <c r="P196" s="17">
        <f t="shared" si="26"/>
        <v>0.3859853378157504</v>
      </c>
      <c r="Q196" s="22">
        <f t="shared" si="27"/>
        <v>0.14573419247665109</v>
      </c>
      <c r="R196" s="22">
        <f t="shared" si="28"/>
        <v>5.3024378652050744E-2</v>
      </c>
      <c r="S196" s="26">
        <f t="shared" si="29"/>
        <v>-6.0479700250892013E-2</v>
      </c>
      <c r="V196">
        <f t="shared" si="14"/>
        <v>4.7393364928909956E-3</v>
      </c>
      <c r="W196" s="25">
        <f t="shared" si="30"/>
        <v>0.11453165876777252</v>
      </c>
      <c r="X196" s="17">
        <f t="shared" si="31"/>
        <v>0.18516966824644551</v>
      </c>
      <c r="Y196" s="22">
        <f t="shared" si="32"/>
        <v>6.9913412322274882E-2</v>
      </c>
      <c r="Z196" s="22">
        <f t="shared" si="33"/>
        <v>2.5437511848341234E-2</v>
      </c>
      <c r="AA196" s="26">
        <f t="shared" si="34"/>
        <v>-2.9014071090047396E-2</v>
      </c>
    </row>
    <row r="197" spans="1:27" x14ac:dyDescent="0.35">
      <c r="A197" s="83" t="s">
        <v>270</v>
      </c>
      <c r="B197" s="84" t="s">
        <v>768</v>
      </c>
      <c r="C197" s="95" t="str">
        <f t="shared" si="35"/>
        <v>HSICUS EQUITY</v>
      </c>
      <c r="D197" s="96">
        <v>0.87816850406373215</v>
      </c>
      <c r="E197" s="96">
        <v>0.1218314959362678</v>
      </c>
      <c r="F197" s="86">
        <f>_xlfn.XLOOKUP(Table22[[#This Row],[Ticker]],D!B:B,D!D:D,"not found")</f>
        <v>13040000000</v>
      </c>
      <c r="G197" s="87">
        <v>0.20984410000000001</v>
      </c>
      <c r="H197" s="92">
        <v>8.3947070000000004</v>
      </c>
      <c r="I197" s="93">
        <v>12.364050000000001</v>
      </c>
      <c r="J197" s="93">
        <v>-7.8768609999999999</v>
      </c>
      <c r="K197" s="94">
        <v>-4.0963409999999998</v>
      </c>
      <c r="N197" s="1">
        <f>D!E195</f>
        <v>1.4445368572620907E-3</v>
      </c>
      <c r="O197" s="25">
        <f t="shared" si="25"/>
        <v>3.0312753672899191E-4</v>
      </c>
      <c r="P197" s="17">
        <f t="shared" si="26"/>
        <v>1.2126463667416074E-2</v>
      </c>
      <c r="Q197" s="22">
        <f t="shared" si="27"/>
        <v>1.7860325930031354E-2</v>
      </c>
      <c r="R197" s="22">
        <f t="shared" si="28"/>
        <v>-1.1378416034030329E-2</v>
      </c>
      <c r="S197" s="26">
        <f t="shared" si="29"/>
        <v>-5.9173155544138493E-3</v>
      </c>
      <c r="V197">
        <f t="shared" ref="V197:V214" si="36">1/211</f>
        <v>4.7393364928909956E-3</v>
      </c>
      <c r="W197" s="25">
        <f t="shared" si="30"/>
        <v>9.9452180094786744E-4</v>
      </c>
      <c r="X197" s="17">
        <f t="shared" si="31"/>
        <v>3.9785341232227496E-2</v>
      </c>
      <c r="Y197" s="22">
        <f t="shared" si="32"/>
        <v>5.8597393364928918E-2</v>
      </c>
      <c r="Z197" s="22">
        <f t="shared" si="33"/>
        <v>-3.7331094786729857E-2</v>
      </c>
      <c r="AA197" s="26">
        <f t="shared" si="34"/>
        <v>-1.9413938388625592E-2</v>
      </c>
    </row>
    <row r="198" spans="1:27" x14ac:dyDescent="0.35">
      <c r="A198" s="83" t="s">
        <v>48</v>
      </c>
      <c r="B198" s="84" t="s">
        <v>556</v>
      </c>
      <c r="C198" s="95" t="str">
        <f t="shared" si="35"/>
        <v>CDWUS EQUITY</v>
      </c>
      <c r="D198" s="96">
        <v>0.85854158291294369</v>
      </c>
      <c r="E198" s="96">
        <v>0.14145841708705631</v>
      </c>
      <c r="F198" s="86">
        <f>_xlfn.XLOOKUP(Table22[[#This Row],[Ticker]],D!B:B,D!D:D,"not found")</f>
        <v>7070000000</v>
      </c>
      <c r="G198" s="87">
        <v>-6.5506339999999996</v>
      </c>
      <c r="H198" s="92">
        <v>78.250730000000004</v>
      </c>
      <c r="I198" s="93">
        <v>17.961359999999999</v>
      </c>
      <c r="J198" s="93">
        <v>34.908439999999999</v>
      </c>
      <c r="K198" s="94">
        <v>25.25667</v>
      </c>
      <c r="N198" s="1">
        <f>D!E196</f>
        <v>7.8319598012599543E-4</v>
      </c>
      <c r="O198" s="25">
        <f t="shared" si="25"/>
        <v>-5.1304302160766696E-3</v>
      </c>
      <c r="P198" s="17">
        <f t="shared" si="26"/>
        <v>6.1285657177924641E-2</v>
      </c>
      <c r="Q198" s="22">
        <f t="shared" si="27"/>
        <v>1.4067264949595849E-2</v>
      </c>
      <c r="R198" s="22">
        <f t="shared" si="28"/>
        <v>2.7340149880469504E-2</v>
      </c>
      <c r="S198" s="26">
        <f t="shared" si="29"/>
        <v>1.9780922415368826E-2</v>
      </c>
      <c r="V198">
        <f t="shared" si="36"/>
        <v>4.7393364928909956E-3</v>
      </c>
      <c r="W198" s="25">
        <f t="shared" si="30"/>
        <v>-3.1045658767772513E-2</v>
      </c>
      <c r="X198" s="17">
        <f t="shared" si="31"/>
        <v>0.37085654028436021</v>
      </c>
      <c r="Y198" s="22">
        <f t="shared" si="32"/>
        <v>8.5124928909952616E-2</v>
      </c>
      <c r="Z198" s="22">
        <f t="shared" si="33"/>
        <v>0.16544284360189573</v>
      </c>
      <c r="AA198" s="26">
        <f t="shared" si="34"/>
        <v>0.11969985781990522</v>
      </c>
    </row>
    <row r="199" spans="1:27" x14ac:dyDescent="0.35">
      <c r="A199" s="83" t="s">
        <v>407</v>
      </c>
      <c r="B199" s="84" t="s">
        <v>902</v>
      </c>
      <c r="C199" s="95" t="str">
        <f t="shared" si="35"/>
        <v>RLUS EQUITY</v>
      </c>
      <c r="D199" s="96">
        <v>0.87725428313796217</v>
      </c>
      <c r="E199" s="96">
        <v>0.12274571686203788</v>
      </c>
      <c r="F199" s="86">
        <f>_xlfn.XLOOKUP(Table22[[#This Row],[Ticker]],D!B:B,D!D:D,"not found")</f>
        <v>9360000000</v>
      </c>
      <c r="G199" s="87">
        <v>-10.68107</v>
      </c>
      <c r="H199" s="92">
        <v>16.054670000000002</v>
      </c>
      <c r="I199" s="93">
        <v>1.802063</v>
      </c>
      <c r="J199" s="93">
        <v>17.511610000000001</v>
      </c>
      <c r="K199" s="94">
        <v>-17.228619999999999</v>
      </c>
      <c r="N199" s="1">
        <f>D!E197</f>
        <v>1.036876149077697E-3</v>
      </c>
      <c r="O199" s="25">
        <f t="shared" si="25"/>
        <v>-1.1074946729629317E-2</v>
      </c>
      <c r="P199" s="17">
        <f t="shared" si="26"/>
        <v>1.664670440431323E-2</v>
      </c>
      <c r="Q199" s="22">
        <f t="shared" si="27"/>
        <v>1.8685161438354019E-3</v>
      </c>
      <c r="R199" s="22">
        <f t="shared" si="28"/>
        <v>1.8157370740950491E-2</v>
      </c>
      <c r="S199" s="26">
        <f t="shared" si="29"/>
        <v>-1.7863945159522991E-2</v>
      </c>
      <c r="V199">
        <f t="shared" si="36"/>
        <v>4.7393364928909956E-3</v>
      </c>
      <c r="W199" s="25">
        <f t="shared" si="30"/>
        <v>-5.0621184834123228E-2</v>
      </c>
      <c r="X199" s="17">
        <f t="shared" si="31"/>
        <v>7.6088483412322286E-2</v>
      </c>
      <c r="Y199" s="22">
        <f t="shared" si="32"/>
        <v>8.5405829383886269E-3</v>
      </c>
      <c r="Z199" s="22">
        <f t="shared" si="33"/>
        <v>8.299341232227489E-2</v>
      </c>
      <c r="AA199" s="26">
        <f t="shared" si="34"/>
        <v>-8.1652227488151666E-2</v>
      </c>
    </row>
    <row r="200" spans="1:27" x14ac:dyDescent="0.35">
      <c r="A200" s="83" t="s">
        <v>426</v>
      </c>
      <c r="B200" s="84" t="s">
        <v>921</v>
      </c>
      <c r="C200" s="95" t="str">
        <f t="shared" si="35"/>
        <v>SPGUS EQUITY</v>
      </c>
      <c r="D200" s="96">
        <v>0.50044395257721463</v>
      </c>
      <c r="E200" s="96">
        <v>0.49955604742278531</v>
      </c>
      <c r="F200" s="86">
        <f>_xlfn.XLOOKUP(Table22[[#This Row],[Ticker]],D!B:B,D!D:D,"not found")</f>
        <v>60160000000</v>
      </c>
      <c r="G200" s="87">
        <v>-38.603749999999998</v>
      </c>
      <c r="H200" s="92">
        <v>-6.7456480000000001</v>
      </c>
      <c r="I200" s="93">
        <v>2.5414469999999998</v>
      </c>
      <c r="J200" s="93">
        <v>0.97141270000000002</v>
      </c>
      <c r="K200" s="94">
        <v>-5.5184839999999999</v>
      </c>
      <c r="N200" s="1">
        <f>D!E198</f>
        <v>6.6643663598840008E-3</v>
      </c>
      <c r="O200" s="25">
        <f t="shared" si="25"/>
        <v>-0.25726953286537196</v>
      </c>
      <c r="P200" s="17">
        <f t="shared" si="26"/>
        <v>-4.4955469606818788E-2</v>
      </c>
      <c r="Q200" s="22">
        <f t="shared" si="27"/>
        <v>1.6937133892228114E-2</v>
      </c>
      <c r="R200" s="22">
        <f t="shared" si="28"/>
        <v>6.4738501194440889E-3</v>
      </c>
      <c r="S200" s="26">
        <f t="shared" si="29"/>
        <v>-3.67771991271581E-2</v>
      </c>
      <c r="V200">
        <f t="shared" si="36"/>
        <v>4.7393364928909956E-3</v>
      </c>
      <c r="W200" s="25">
        <f t="shared" si="30"/>
        <v>-0.18295616113744076</v>
      </c>
      <c r="X200" s="17">
        <f t="shared" si="31"/>
        <v>-3.1969895734597159E-2</v>
      </c>
      <c r="Y200" s="22">
        <f t="shared" si="32"/>
        <v>1.2044772511848342E-2</v>
      </c>
      <c r="Z200" s="22">
        <f t="shared" si="33"/>
        <v>4.6038516587677729E-3</v>
      </c>
      <c r="AA200" s="26">
        <f t="shared" si="34"/>
        <v>-2.6153952606635073E-2</v>
      </c>
    </row>
    <row r="201" spans="1:27" x14ac:dyDescent="0.35">
      <c r="A201" s="83" t="s">
        <v>370</v>
      </c>
      <c r="B201" s="84" t="s">
        <v>866</v>
      </c>
      <c r="C201" s="95" t="str">
        <f t="shared" si="35"/>
        <v>NVDAUS EQUITY</v>
      </c>
      <c r="D201" s="96">
        <v>0.94306254628821584</v>
      </c>
      <c r="E201" s="96">
        <v>5.6937453711784214E-2</v>
      </c>
      <c r="F201" s="86">
        <f>_xlfn.XLOOKUP(Table22[[#This Row],[Ticker]],D!B:B,D!D:D,"not found")</f>
        <v>17730000000</v>
      </c>
      <c r="G201" s="87">
        <v>122.30200000000001</v>
      </c>
      <c r="H201" s="92">
        <v>76.945350000000005</v>
      </c>
      <c r="I201" s="93">
        <v>-30.8157</v>
      </c>
      <c r="J201" s="93">
        <v>81.980999999999995</v>
      </c>
      <c r="K201" s="94">
        <v>226.9408</v>
      </c>
      <c r="N201" s="1">
        <f>D!E199</f>
        <v>1.9640827054644835E-3</v>
      </c>
      <c r="O201" s="25">
        <f t="shared" si="25"/>
        <v>0.24021124304371727</v>
      </c>
      <c r="P201" s="17">
        <f t="shared" si="26"/>
        <v>0.15112703120091162</v>
      </c>
      <c r="Q201" s="22">
        <f t="shared" si="27"/>
        <v>-6.0524583426781881E-2</v>
      </c>
      <c r="R201" s="22">
        <f t="shared" si="28"/>
        <v>0.16101746427668381</v>
      </c>
      <c r="S201" s="26">
        <f t="shared" si="29"/>
        <v>0.44573050044427426</v>
      </c>
      <c r="V201">
        <f t="shared" si="36"/>
        <v>4.7393364928909956E-3</v>
      </c>
      <c r="W201" s="25">
        <f t="shared" si="30"/>
        <v>0.57963033175355461</v>
      </c>
      <c r="X201" s="17">
        <f t="shared" si="31"/>
        <v>0.3646699052132702</v>
      </c>
      <c r="Y201" s="22">
        <f t="shared" si="32"/>
        <v>-0.14604597156398105</v>
      </c>
      <c r="Z201" s="22">
        <f t="shared" si="33"/>
        <v>0.38853554502369669</v>
      </c>
      <c r="AA201" s="26">
        <f t="shared" si="34"/>
        <v>1.0755488151658767</v>
      </c>
    </row>
    <row r="202" spans="1:27" x14ac:dyDescent="0.35">
      <c r="A202" s="83" t="s">
        <v>356</v>
      </c>
      <c r="B202" s="84" t="s">
        <v>852</v>
      </c>
      <c r="C202" s="95" t="str">
        <f t="shared" si="35"/>
        <v>NTAPUS EQUITY</v>
      </c>
      <c r="D202" s="96">
        <v>0.96620876531573985</v>
      </c>
      <c r="E202" s="96">
        <v>3.3791234684260131E-2</v>
      </c>
      <c r="F202" s="86">
        <f>_xlfn.XLOOKUP(Table22[[#This Row],[Ticker]],D!B:B,D!D:D,"not found")</f>
        <v>7760000000</v>
      </c>
      <c r="G202" s="87">
        <v>10.89568</v>
      </c>
      <c r="H202" s="92">
        <v>7.442653</v>
      </c>
      <c r="I202" s="93">
        <v>9.659338</v>
      </c>
      <c r="J202" s="93">
        <v>59.92924</v>
      </c>
      <c r="K202" s="94">
        <v>36.572139999999997</v>
      </c>
      <c r="N202" s="1">
        <f>D!E200</f>
        <v>8.5963236291056926E-4</v>
      </c>
      <c r="O202" s="25">
        <f t="shared" si="25"/>
        <v>9.3662791439174317E-3</v>
      </c>
      <c r="P202" s="17">
        <f t="shared" si="26"/>
        <v>6.3979453847134368E-3</v>
      </c>
      <c r="Q202" s="22">
        <f t="shared" si="27"/>
        <v>8.3034795490918526E-3</v>
      </c>
      <c r="R202" s="22">
        <f t="shared" si="28"/>
        <v>5.1517114188634604E-2</v>
      </c>
      <c r="S202" s="26">
        <f t="shared" si="29"/>
        <v>3.1438595124896142E-2</v>
      </c>
      <c r="V202">
        <f t="shared" si="36"/>
        <v>4.7393364928909956E-3</v>
      </c>
      <c r="W202" s="25">
        <f t="shared" si="30"/>
        <v>5.1638293838862565E-2</v>
      </c>
      <c r="X202" s="17">
        <f t="shared" si="31"/>
        <v>3.5273236966824648E-2</v>
      </c>
      <c r="Y202" s="22">
        <f t="shared" si="32"/>
        <v>4.5778853080568727E-2</v>
      </c>
      <c r="Z202" s="22">
        <f t="shared" si="33"/>
        <v>0.28402483412322277</v>
      </c>
      <c r="AA202" s="26">
        <f t="shared" si="34"/>
        <v>0.17332767772511848</v>
      </c>
    </row>
    <row r="203" spans="1:27" x14ac:dyDescent="0.35">
      <c r="A203" s="83" t="s">
        <v>197</v>
      </c>
      <c r="B203" s="84" t="s">
        <v>699</v>
      </c>
      <c r="C203" s="95" t="str">
        <f t="shared" si="35"/>
        <v>DHRUS EQUITY</v>
      </c>
      <c r="D203" s="96">
        <v>0.87271406331084589</v>
      </c>
      <c r="E203" s="96">
        <v>0.12728593668915414</v>
      </c>
      <c r="F203" s="86">
        <f>_xlfn.XLOOKUP(Table22[[#This Row],[Ticker]],D!B:B,D!D:D,"not found")</f>
        <v>63790000000</v>
      </c>
      <c r="G203" s="87">
        <v>45.318939999999998</v>
      </c>
      <c r="H203" s="92">
        <v>49.553489999999996</v>
      </c>
      <c r="I203" s="93">
        <v>11.80228</v>
      </c>
      <c r="J203" s="93">
        <v>20.013200000000001</v>
      </c>
      <c r="K203" s="94">
        <v>11.298069999999999</v>
      </c>
      <c r="N203" s="1">
        <f>D!E201</f>
        <v>7.0664881997506718E-3</v>
      </c>
      <c r="O203" s="25">
        <f t="shared" si="25"/>
        <v>0.32024575473520872</v>
      </c>
      <c r="P203" s="17">
        <f t="shared" si="26"/>
        <v>0.3501691523414629</v>
      </c>
      <c r="Q203" s="22">
        <f t="shared" si="27"/>
        <v>8.340067235015336E-2</v>
      </c>
      <c r="R203" s="22">
        <f t="shared" si="28"/>
        <v>0.14142304163925015</v>
      </c>
      <c r="S203" s="26">
        <f t="shared" si="29"/>
        <v>7.9837678334957071E-2</v>
      </c>
      <c r="V203">
        <f t="shared" si="36"/>
        <v>4.7393364928909956E-3</v>
      </c>
      <c r="W203" s="25">
        <f t="shared" si="30"/>
        <v>0.21478170616113745</v>
      </c>
      <c r="X203" s="17">
        <f t="shared" si="31"/>
        <v>0.23485066350710901</v>
      </c>
      <c r="Y203" s="22">
        <f t="shared" si="32"/>
        <v>5.5934976303317535E-2</v>
      </c>
      <c r="Z203" s="22">
        <f t="shared" si="33"/>
        <v>9.4849289099526085E-2</v>
      </c>
      <c r="AA203" s="26">
        <f t="shared" si="34"/>
        <v>5.3545355450236969E-2</v>
      </c>
    </row>
    <row r="204" spans="1:27" x14ac:dyDescent="0.35">
      <c r="A204" s="83" t="s">
        <v>89</v>
      </c>
      <c r="B204" s="84" t="s">
        <v>593</v>
      </c>
      <c r="C204" s="95" t="str">
        <f t="shared" si="35"/>
        <v>AKAMUS EQUITY</v>
      </c>
      <c r="D204" s="96">
        <v>0.96872688853671418</v>
      </c>
      <c r="E204" s="96">
        <v>3.1273111463285791E-2</v>
      </c>
      <c r="F204" s="86">
        <f>_xlfn.XLOOKUP(Table22[[#This Row],[Ticker]],D!B:B,D!D:D,"not found")</f>
        <v>9330000000</v>
      </c>
      <c r="G204" s="87">
        <v>21.544350000000001</v>
      </c>
      <c r="H204" s="92">
        <v>41.42109</v>
      </c>
      <c r="I204" s="93">
        <v>-6.0885670000000003</v>
      </c>
      <c r="J204" s="93">
        <v>-2.4594960000000001</v>
      </c>
      <c r="K204" s="94">
        <v>26.695799999999998</v>
      </c>
      <c r="N204" s="1">
        <f>D!E202</f>
        <v>1.0335528280870634E-3</v>
      </c>
      <c r="O204" s="25">
        <f t="shared" ref="O204:O214" si="37">N204*G204</f>
        <v>2.2267223871797526E-2</v>
      </c>
      <c r="P204" s="17">
        <f t="shared" ref="P204:P214" si="38">N204*H204</f>
        <v>4.2810884711948778E-2</v>
      </c>
      <c r="Q204" s="22">
        <f t="shared" ref="Q204:Q214" si="39">N204*I204</f>
        <v>-6.2928556418475681E-3</v>
      </c>
      <c r="R204" s="22">
        <f t="shared" ref="R204:R214" si="40">N204*J204</f>
        <v>-2.5420190464688201E-3</v>
      </c>
      <c r="S204" s="26">
        <f t="shared" ref="S204:S214" si="41">N204*K204</f>
        <v>2.7591519588046627E-2</v>
      </c>
      <c r="V204">
        <f t="shared" si="36"/>
        <v>4.7393364928909956E-3</v>
      </c>
      <c r="W204" s="25">
        <f t="shared" ref="W204:W214" si="42">V204*G204</f>
        <v>0.10210592417061613</v>
      </c>
      <c r="X204" s="17">
        <f t="shared" ref="X204:X214" si="43">V204*H204</f>
        <v>0.19630848341232229</v>
      </c>
      <c r="Y204" s="22">
        <f t="shared" ref="Y204:Y214" si="44">V204*I204</f>
        <v>-2.8855767772511851E-2</v>
      </c>
      <c r="Z204" s="22">
        <f t="shared" ref="Z204:Z214" si="45">V204*J204</f>
        <v>-1.1656379146919433E-2</v>
      </c>
      <c r="AA204" s="26">
        <f t="shared" ref="AA204:AA214" si="46">V204*K204</f>
        <v>0.12652037914691944</v>
      </c>
    </row>
    <row r="205" spans="1:27" x14ac:dyDescent="0.35">
      <c r="A205" s="83" t="s">
        <v>110</v>
      </c>
      <c r="B205" s="84" t="s">
        <v>614</v>
      </c>
      <c r="C205" s="95" t="str">
        <f t="shared" si="35"/>
        <v>APHUS EQUITY</v>
      </c>
      <c r="D205" s="96">
        <v>0.98395575165192428</v>
      </c>
      <c r="E205" s="96">
        <v>1.6044248348075746E-2</v>
      </c>
      <c r="F205" s="86">
        <f>_xlfn.XLOOKUP(Table22[[#This Row],[Ticker]],D!B:B,D!D:D,"not found")</f>
        <v>16090000000</v>
      </c>
      <c r="G205" s="87">
        <v>22.13814</v>
      </c>
      <c r="H205" s="92">
        <v>34.898780000000002</v>
      </c>
      <c r="I205" s="93">
        <v>-6.8216799999999997</v>
      </c>
      <c r="J205" s="93">
        <v>31.80527</v>
      </c>
      <c r="K205" s="94">
        <v>29.883959999999998</v>
      </c>
      <c r="N205" s="1">
        <f>D!E203</f>
        <v>1.7824078246431777E-3</v>
      </c>
      <c r="O205" s="25">
        <f t="shared" si="37"/>
        <v>3.9459193959046117E-2</v>
      </c>
      <c r="P205" s="17">
        <f t="shared" si="38"/>
        <v>6.2203858542500844E-2</v>
      </c>
      <c r="Q205" s="22">
        <f t="shared" si="39"/>
        <v>-1.2159015809211872E-2</v>
      </c>
      <c r="R205" s="22">
        <f t="shared" si="40"/>
        <v>5.6689962112888924E-2</v>
      </c>
      <c r="S205" s="26">
        <f t="shared" si="41"/>
        <v>5.3265404135323734E-2</v>
      </c>
      <c r="V205">
        <f t="shared" si="36"/>
        <v>4.7393364928909956E-3</v>
      </c>
      <c r="W205" s="25">
        <f t="shared" si="42"/>
        <v>0.10492009478672987</v>
      </c>
      <c r="X205" s="17">
        <f t="shared" si="43"/>
        <v>0.16539706161137444</v>
      </c>
      <c r="Y205" s="22">
        <f t="shared" si="44"/>
        <v>-3.2330236966824646E-2</v>
      </c>
      <c r="Z205" s="22">
        <f t="shared" si="45"/>
        <v>0.1507358767772512</v>
      </c>
      <c r="AA205" s="26">
        <f t="shared" si="46"/>
        <v>0.14163014218009479</v>
      </c>
    </row>
    <row r="206" spans="1:27" x14ac:dyDescent="0.35">
      <c r="A206" s="83" t="s">
        <v>279</v>
      </c>
      <c r="B206" s="84" t="s">
        <v>777</v>
      </c>
      <c r="C206" s="95" t="str">
        <f t="shared" si="35"/>
        <v>HRLUS EQUITY</v>
      </c>
      <c r="D206" s="96">
        <v>0.98280205067735471</v>
      </c>
      <c r="E206" s="96">
        <v>1.7197949322645321E-2</v>
      </c>
      <c r="F206" s="86">
        <f>_xlfn.XLOOKUP(Table22[[#This Row],[Ticker]],D!B:B,D!D:D,"not found")</f>
        <v>20900000000</v>
      </c>
      <c r="G206" s="87">
        <v>5.3637860000000002</v>
      </c>
      <c r="H206" s="92">
        <v>7.8561779999999999</v>
      </c>
      <c r="I206" s="93">
        <v>19.683250000000001</v>
      </c>
      <c r="J206" s="93">
        <v>6.7010160000000001</v>
      </c>
      <c r="K206" s="94">
        <v>-10.620010000000001</v>
      </c>
      <c r="N206" s="1">
        <f>D!E204</f>
        <v>2.3152469568081054E-3</v>
      </c>
      <c r="O206" s="25">
        <f t="shared" si="37"/>
        <v>1.241848921346992E-2</v>
      </c>
      <c r="P206" s="17">
        <f t="shared" si="38"/>
        <v>1.8188992206642787E-2</v>
      </c>
      <c r="Q206" s="22">
        <f t="shared" si="39"/>
        <v>4.5571584662593145E-2</v>
      </c>
      <c r="R206" s="22">
        <f t="shared" si="40"/>
        <v>1.5514506901522424E-2</v>
      </c>
      <c r="S206" s="26">
        <f t="shared" si="41"/>
        <v>-2.4587945833771649E-2</v>
      </c>
      <c r="V206">
        <f t="shared" si="36"/>
        <v>4.7393364928909956E-3</v>
      </c>
      <c r="W206" s="25">
        <f t="shared" si="42"/>
        <v>2.5420786729857824E-2</v>
      </c>
      <c r="X206" s="17">
        <f t="shared" si="43"/>
        <v>3.7233071090047393E-2</v>
      </c>
      <c r="Y206" s="22">
        <f t="shared" si="44"/>
        <v>9.3285545023696695E-2</v>
      </c>
      <c r="Z206" s="22">
        <f t="shared" si="45"/>
        <v>3.1758369668246446E-2</v>
      </c>
      <c r="AA206" s="26">
        <f t="shared" si="46"/>
        <v>-5.0331800947867308E-2</v>
      </c>
    </row>
    <row r="207" spans="1:27" x14ac:dyDescent="0.35">
      <c r="A207" s="83" t="s">
        <v>311</v>
      </c>
      <c r="B207" s="84" t="s">
        <v>808</v>
      </c>
      <c r="C207" s="95" t="str">
        <f t="shared" si="35"/>
        <v>KIMUS EQUITY</v>
      </c>
      <c r="D207" s="96">
        <v>0.81723983568569625</v>
      </c>
      <c r="E207" s="96">
        <v>0.18276016431430378</v>
      </c>
      <c r="F207" s="86">
        <f>_xlfn.XLOOKUP(Table22[[#This Row],[Ticker]],D!B:B,D!D:D,"not found")</f>
        <v>10940000000</v>
      </c>
      <c r="G207" s="87">
        <v>-23.642669999999999</v>
      </c>
      <c r="H207" s="92">
        <v>49.77158</v>
      </c>
      <c r="I207" s="93">
        <v>-13.19088</v>
      </c>
      <c r="J207" s="93">
        <v>-23.73732</v>
      </c>
      <c r="K207" s="94">
        <v>-1.341796</v>
      </c>
      <c r="N207" s="1">
        <f>D!E205</f>
        <v>1.2119043879177355E-3</v>
      </c>
      <c r="O207" s="25">
        <f t="shared" si="37"/>
        <v>-2.8652655515091004E-2</v>
      </c>
      <c r="P207" s="17">
        <f t="shared" si="38"/>
        <v>6.0318396195598603E-2</v>
      </c>
      <c r="Q207" s="22">
        <f t="shared" si="39"/>
        <v>-1.5986085352496297E-2</v>
      </c>
      <c r="R207" s="22">
        <f t="shared" si="40"/>
        <v>-2.8767362265407419E-2</v>
      </c>
      <c r="S207" s="26">
        <f t="shared" si="41"/>
        <v>-1.6261284600904658E-3</v>
      </c>
      <c r="V207">
        <f t="shared" si="36"/>
        <v>4.7393364928909956E-3</v>
      </c>
      <c r="W207" s="25">
        <f t="shared" si="42"/>
        <v>-0.11205056872037915</v>
      </c>
      <c r="X207" s="17">
        <f t="shared" si="43"/>
        <v>0.23588426540284363</v>
      </c>
      <c r="Y207" s="22">
        <f t="shared" si="44"/>
        <v>-6.2516018957345973E-2</v>
      </c>
      <c r="Z207" s="22">
        <f t="shared" si="45"/>
        <v>-0.11249914691943129</v>
      </c>
      <c r="AA207" s="26">
        <f t="shared" si="46"/>
        <v>-6.3592227488151664E-3</v>
      </c>
    </row>
    <row r="208" spans="1:27" x14ac:dyDescent="0.35">
      <c r="A208" s="83" t="s">
        <v>502</v>
      </c>
      <c r="B208" s="84" t="s">
        <v>986</v>
      </c>
      <c r="C208" s="95" t="str">
        <f t="shared" si="35"/>
        <v>WLTWUS EQUITY</v>
      </c>
      <c r="D208" s="96">
        <v>0.80241693022166505</v>
      </c>
      <c r="E208" s="96">
        <v>0.19758306977833498</v>
      </c>
      <c r="F208" s="86">
        <f>_xlfn.XLOOKUP(Table22[[#This Row],[Ticker]],D!B:B,D!D:D,"not found")</f>
        <v>8830000000</v>
      </c>
      <c r="G208" s="87">
        <v>5.8140280000000004</v>
      </c>
      <c r="H208" s="92">
        <v>34.815849999999998</v>
      </c>
      <c r="I208" s="93">
        <v>2.415645</v>
      </c>
      <c r="J208" s="93">
        <v>25.0383</v>
      </c>
      <c r="K208" s="94">
        <v>-3.4473600000000002</v>
      </c>
      <c r="N208" s="1">
        <f>D!E206</f>
        <v>9.7816414490983598E-4</v>
      </c>
      <c r="O208" s="25">
        <f t="shared" si="37"/>
        <v>5.687073727101844E-3</v>
      </c>
      <c r="P208" s="17">
        <f t="shared" si="38"/>
        <v>3.4055616144559112E-2</v>
      </c>
      <c r="Q208" s="22">
        <f t="shared" si="39"/>
        <v>2.362897325830721E-3</v>
      </c>
      <c r="R208" s="22">
        <f t="shared" si="40"/>
        <v>2.4491567309495945E-2</v>
      </c>
      <c r="S208" s="26">
        <f t="shared" si="41"/>
        <v>-3.3720839465963726E-3</v>
      </c>
      <c r="V208">
        <f t="shared" si="36"/>
        <v>4.7393364928909956E-3</v>
      </c>
      <c r="W208" s="25">
        <f t="shared" si="42"/>
        <v>2.7554635071090051E-2</v>
      </c>
      <c r="X208" s="17">
        <f t="shared" si="43"/>
        <v>0.16500402843601897</v>
      </c>
      <c r="Y208" s="22">
        <f t="shared" si="44"/>
        <v>1.144855450236967E-2</v>
      </c>
      <c r="Z208" s="22">
        <f t="shared" si="45"/>
        <v>0.11866492890995262</v>
      </c>
      <c r="AA208" s="26">
        <f t="shared" si="46"/>
        <v>-1.6338199052132702E-2</v>
      </c>
    </row>
    <row r="209" spans="1:28" x14ac:dyDescent="0.35">
      <c r="A209" s="83" t="s">
        <v>156</v>
      </c>
      <c r="B209" s="84" t="s">
        <v>660</v>
      </c>
      <c r="C209" s="95" t="str">
        <f t="shared" si="35"/>
        <v>CBREUS EQUITY</v>
      </c>
      <c r="D209" s="96">
        <v>0.54736334084075755</v>
      </c>
      <c r="E209" s="96">
        <v>0.45263665915924245</v>
      </c>
      <c r="F209" s="86">
        <f>_xlfn.XLOOKUP(Table22[[#This Row],[Ticker]],D!B:B,D!D:D,"not found")</f>
        <v>11560000000</v>
      </c>
      <c r="G209" s="87">
        <v>2.3331759999999999</v>
      </c>
      <c r="H209" s="92">
        <v>53.071939999999998</v>
      </c>
      <c r="I209" s="93">
        <v>-7.5502209999999996</v>
      </c>
      <c r="J209" s="93">
        <v>37.535730000000001</v>
      </c>
      <c r="K209" s="94">
        <v>-8.9358090000000008</v>
      </c>
      <c r="N209" s="1">
        <f>D!E207</f>
        <v>1.2805863550574975E-3</v>
      </c>
      <c r="O209" s="25">
        <f t="shared" si="37"/>
        <v>2.9878333495476318E-3</v>
      </c>
      <c r="P209" s="17">
        <f t="shared" si="38"/>
        <v>6.7963202200430201E-2</v>
      </c>
      <c r="Q209" s="22">
        <f t="shared" si="39"/>
        <v>-9.668709990268573E-3</v>
      </c>
      <c r="R209" s="22">
        <f t="shared" si="40"/>
        <v>4.8067743665122363E-2</v>
      </c>
      <c r="S209" s="26">
        <f t="shared" si="41"/>
        <v>-1.1443075076799984E-2</v>
      </c>
      <c r="V209">
        <f t="shared" si="36"/>
        <v>4.7393364928909956E-3</v>
      </c>
      <c r="W209" s="25">
        <f t="shared" si="42"/>
        <v>1.1057706161137441E-2</v>
      </c>
      <c r="X209" s="17">
        <f t="shared" si="43"/>
        <v>0.25152578199052134</v>
      </c>
      <c r="Y209" s="22">
        <f t="shared" si="44"/>
        <v>-3.5783037914691944E-2</v>
      </c>
      <c r="Z209" s="22">
        <f t="shared" si="45"/>
        <v>0.17789445497630332</v>
      </c>
      <c r="AA209" s="26">
        <f t="shared" si="46"/>
        <v>-4.2349805687203798E-2</v>
      </c>
    </row>
    <row r="210" spans="1:28" x14ac:dyDescent="0.35">
      <c r="A210" s="83" t="s">
        <v>230</v>
      </c>
      <c r="B210" s="84" t="s">
        <v>731</v>
      </c>
      <c r="C210" s="95" t="str">
        <f t="shared" si="35"/>
        <v>ELUS EQUITY</v>
      </c>
      <c r="D210" s="96">
        <v>0.68099220877320155</v>
      </c>
      <c r="E210" s="96">
        <v>0.3190077912267984</v>
      </c>
      <c r="F210" s="86">
        <f>_xlfn.XLOOKUP(Table22[[#This Row],[Ticker]],D!B:B,D!D:D,"not found")</f>
        <v>32530000000</v>
      </c>
      <c r="G210" s="87">
        <v>29.777280000000001</v>
      </c>
      <c r="H210" s="92">
        <v>60.331629999999997</v>
      </c>
      <c r="I210" s="93">
        <v>3.3765550000000002</v>
      </c>
      <c r="J210" s="93">
        <v>68.684780000000003</v>
      </c>
      <c r="K210" s="94">
        <v>-11.90282</v>
      </c>
      <c r="N210" s="1">
        <f>D!E208</f>
        <v>3.6035877275104149E-3</v>
      </c>
      <c r="O210" s="25">
        <f t="shared" si="37"/>
        <v>0.10730504076664132</v>
      </c>
      <c r="P210" s="17">
        <f t="shared" si="38"/>
        <v>0.21741032144869915</v>
      </c>
      <c r="Q210" s="22">
        <f t="shared" si="39"/>
        <v>1.2167712159263929E-2</v>
      </c>
      <c r="R210" s="22">
        <f t="shared" si="40"/>
        <v>0.24751163027475281</v>
      </c>
      <c r="S210" s="26">
        <f t="shared" si="41"/>
        <v>-4.289285607476552E-2</v>
      </c>
      <c r="V210">
        <f t="shared" si="36"/>
        <v>4.7393364928909956E-3</v>
      </c>
      <c r="W210" s="25">
        <f t="shared" si="42"/>
        <v>0.14112454976303318</v>
      </c>
      <c r="X210" s="17">
        <f t="shared" si="43"/>
        <v>0.28593189573459715</v>
      </c>
      <c r="Y210" s="22">
        <f t="shared" si="44"/>
        <v>1.6002630331753556E-2</v>
      </c>
      <c r="Z210" s="22">
        <f t="shared" si="45"/>
        <v>0.32552028436018959</v>
      </c>
      <c r="AA210" s="26">
        <f t="shared" si="46"/>
        <v>-5.6411469194312801E-2</v>
      </c>
    </row>
    <row r="211" spans="1:28" x14ac:dyDescent="0.35">
      <c r="A211" s="83" t="s">
        <v>192</v>
      </c>
      <c r="B211" s="84" t="s">
        <v>694</v>
      </c>
      <c r="C211" s="95" t="str">
        <f t="shared" si="35"/>
        <v>COSTUS EQUITY</v>
      </c>
      <c r="D211" s="96">
        <v>0.96033033475888507</v>
      </c>
      <c r="E211" s="96">
        <v>3.9669665241114878E-2</v>
      </c>
      <c r="F211" s="86">
        <f>_xlfn.XLOOKUP(Table22[[#This Row],[Ticker]],D!B:B,D!D:D,"not found")</f>
        <v>71020000000</v>
      </c>
      <c r="G211" s="87">
        <v>32.6171875</v>
      </c>
      <c r="H211" s="92">
        <v>45.699190000000002</v>
      </c>
      <c r="I211" s="93">
        <v>10.59196</v>
      </c>
      <c r="J211" s="93">
        <v>22.37302</v>
      </c>
      <c r="K211" s="94">
        <v>0.2760649</v>
      </c>
      <c r="N211" s="1">
        <f>D!E209</f>
        <v>7.8674085584933794E-3</v>
      </c>
      <c r="O211" s="25">
        <f t="shared" si="37"/>
        <v>0.25661274009148327</v>
      </c>
      <c r="P211" s="17">
        <f t="shared" si="38"/>
        <v>0.35953419852221508</v>
      </c>
      <c r="Q211" s="22">
        <f t="shared" si="39"/>
        <v>8.3331276755219535E-2</v>
      </c>
      <c r="R211" s="22">
        <f t="shared" si="40"/>
        <v>0.17601768902734355</v>
      </c>
      <c r="S211" s="26">
        <f t="shared" si="41"/>
        <v>2.1719153569596189E-3</v>
      </c>
      <c r="V211">
        <f t="shared" si="36"/>
        <v>4.7393364928909956E-3</v>
      </c>
      <c r="W211" s="25">
        <f t="shared" si="42"/>
        <v>0.15458382701421802</v>
      </c>
      <c r="X211" s="17">
        <f t="shared" si="43"/>
        <v>0.21658383886255927</v>
      </c>
      <c r="Y211" s="22">
        <f t="shared" si="44"/>
        <v>5.0198862559241712E-2</v>
      </c>
      <c r="Z211" s="22">
        <f t="shared" si="45"/>
        <v>0.1060332701421801</v>
      </c>
      <c r="AA211" s="26">
        <f t="shared" si="46"/>
        <v>1.3083644549763034E-3</v>
      </c>
    </row>
    <row r="212" spans="1:28" x14ac:dyDescent="0.35">
      <c r="A212" s="83" t="s">
        <v>121</v>
      </c>
      <c r="B212" s="84" t="s">
        <v>625</v>
      </c>
      <c r="C212" s="95" t="str">
        <f t="shared" si="35"/>
        <v>ANETUS EQUITY</v>
      </c>
      <c r="D212" s="96">
        <v>0.99927709101424134</v>
      </c>
      <c r="E212" s="96">
        <v>7.2290898575869296E-4</v>
      </c>
      <c r="F212" s="86">
        <f>_xlfn.XLOOKUP(Table22[[#This Row],[Ticker]],D!B:B,D!D:D,"not found")</f>
        <v>5300000000</v>
      </c>
      <c r="G212" s="87">
        <v>42.856450000000002</v>
      </c>
      <c r="H212" s="92">
        <v>-3.464645</v>
      </c>
      <c r="I212" s="93">
        <v>-10.56118</v>
      </c>
      <c r="J212" s="93">
        <v>143.44319999999999</v>
      </c>
      <c r="K212" s="94">
        <v>24.319120000000002</v>
      </c>
      <c r="N212" s="1">
        <f>D!E210</f>
        <v>5.8712004167861044E-4</v>
      </c>
      <c r="O212" s="25">
        <f t="shared" si="37"/>
        <v>2.5161880710197284E-2</v>
      </c>
      <c r="P212" s="17">
        <f t="shared" si="38"/>
        <v>-2.0341625168015893E-3</v>
      </c>
      <c r="Q212" s="22">
        <f t="shared" si="39"/>
        <v>-6.2006804417753074E-3</v>
      </c>
      <c r="R212" s="22">
        <f t="shared" si="40"/>
        <v>8.4218377562513241E-2</v>
      </c>
      <c r="S212" s="26">
        <f t="shared" si="41"/>
        <v>1.4278242747987129E-2</v>
      </c>
      <c r="V212">
        <f t="shared" si="36"/>
        <v>4.7393364928909956E-3</v>
      </c>
      <c r="W212" s="25">
        <f t="shared" si="42"/>
        <v>0.20311113744075832</v>
      </c>
      <c r="X212" s="17">
        <f t="shared" si="43"/>
        <v>-1.6420118483412325E-2</v>
      </c>
      <c r="Y212" s="22">
        <f t="shared" si="44"/>
        <v>-5.0052985781990529E-2</v>
      </c>
      <c r="Z212" s="22">
        <f t="shared" si="45"/>
        <v>0.67982559241706164</v>
      </c>
      <c r="AA212" s="26">
        <f t="shared" si="46"/>
        <v>0.11525649289099528</v>
      </c>
    </row>
    <row r="213" spans="1:28" x14ac:dyDescent="0.35">
      <c r="A213" s="83" t="s">
        <v>284</v>
      </c>
      <c r="B213" s="84" t="s">
        <v>284</v>
      </c>
      <c r="C213" s="95" t="str">
        <f t="shared" si="35"/>
        <v>IBMUS EQUITY</v>
      </c>
      <c r="D213" s="96">
        <v>0.90010799907243888</v>
      </c>
      <c r="E213" s="96">
        <v>9.9892000927561161E-2</v>
      </c>
      <c r="F213" s="86">
        <f>_xlfn.XLOOKUP(Table22[[#This Row],[Ticker]],D!B:B,D!D:D,"not found")</f>
        <v>132900000000</v>
      </c>
      <c r="G213" s="87">
        <v>-1.1907160000000001</v>
      </c>
      <c r="H213" s="92">
        <v>23.571529999999999</v>
      </c>
      <c r="I213" s="93">
        <v>-22.53839</v>
      </c>
      <c r="J213" s="93">
        <v>-3.983295</v>
      </c>
      <c r="K213" s="94">
        <v>25.189920000000001</v>
      </c>
      <c r="N213" s="1">
        <f>D!E211</f>
        <v>1.4722311988507044E-2</v>
      </c>
      <c r="O213" s="25">
        <f t="shared" si="37"/>
        <v>-1.7530092441707154E-2</v>
      </c>
      <c r="P213" s="17">
        <f t="shared" si="38"/>
        <v>0.34702741870645343</v>
      </c>
      <c r="Q213" s="22">
        <f t="shared" si="39"/>
        <v>-0.33181720929864728</v>
      </c>
      <c r="R213" s="22">
        <f t="shared" si="40"/>
        <v>-5.8643311732260166E-2</v>
      </c>
      <c r="S213" s="26">
        <f t="shared" si="41"/>
        <v>0.37085386120553337</v>
      </c>
      <c r="V213">
        <f t="shared" si="36"/>
        <v>4.7393364928909956E-3</v>
      </c>
      <c r="W213" s="25">
        <f t="shared" si="42"/>
        <v>-5.6432037914691952E-3</v>
      </c>
      <c r="X213" s="17">
        <f t="shared" si="43"/>
        <v>0.11171341232227489</v>
      </c>
      <c r="Y213" s="22">
        <f t="shared" si="44"/>
        <v>-0.10681701421800949</v>
      </c>
      <c r="Z213" s="22">
        <f t="shared" si="45"/>
        <v>-1.8878175355450239E-2</v>
      </c>
      <c r="AA213" s="26">
        <f t="shared" si="46"/>
        <v>0.11938350710900475</v>
      </c>
    </row>
    <row r="214" spans="1:28" ht="15" thickBot="1" x14ac:dyDescent="0.4">
      <c r="A214" s="97" t="s">
        <v>117</v>
      </c>
      <c r="B214" s="89" t="s">
        <v>621</v>
      </c>
      <c r="C214" s="98" t="str">
        <f t="shared" si="35"/>
        <v>AAPLUS EQUITY</v>
      </c>
      <c r="D214" s="96">
        <v>0.88527995586243791</v>
      </c>
      <c r="E214" s="96">
        <v>0.11472004413756207</v>
      </c>
      <c r="F214" s="99">
        <f>_xlfn.XLOOKUP(Table22[[#This Row],[Ticker]],D!B:B,D!D:D,"not found")</f>
        <v>583610000000</v>
      </c>
      <c r="G214" s="100">
        <v>82.309209999999993</v>
      </c>
      <c r="H214" s="101">
        <v>88.966560000000001</v>
      </c>
      <c r="I214" s="102">
        <v>-5.3913060000000002</v>
      </c>
      <c r="J214" s="102">
        <v>48.475360000000002</v>
      </c>
      <c r="K214" s="103">
        <v>12.480869999999999</v>
      </c>
      <c r="N214" s="34">
        <f>D!E212</f>
        <v>6.4650778778123363E-2</v>
      </c>
      <c r="O214" s="27">
        <f t="shared" si="37"/>
        <v>5.3213545271120992</v>
      </c>
      <c r="P214" s="28">
        <f t="shared" si="38"/>
        <v>5.7517573892106393</v>
      </c>
      <c r="Q214" s="29">
        <f t="shared" si="39"/>
        <v>-0.34855213153116915</v>
      </c>
      <c r="R214" s="29">
        <f t="shared" si="40"/>
        <v>3.1339697755498901</v>
      </c>
      <c r="S214" s="30">
        <f t="shared" si="41"/>
        <v>0.80689796532851654</v>
      </c>
      <c r="V214" s="10">
        <f t="shared" si="36"/>
        <v>4.7393364928909956E-3</v>
      </c>
      <c r="W214" s="27">
        <f t="shared" si="42"/>
        <v>0.39009104265402844</v>
      </c>
      <c r="X214" s="28">
        <f t="shared" si="43"/>
        <v>0.42164246445497633</v>
      </c>
      <c r="Y214" s="29">
        <f t="shared" si="44"/>
        <v>-2.5551213270142183E-2</v>
      </c>
      <c r="Z214" s="29">
        <f t="shared" si="45"/>
        <v>0.22974104265402848</v>
      </c>
      <c r="AA214" s="30">
        <f t="shared" si="46"/>
        <v>5.9151042654028436E-2</v>
      </c>
    </row>
    <row r="215" spans="1:28" ht="15" thickBot="1" x14ac:dyDescent="0.4">
      <c r="M215" s="6" t="s">
        <v>1045</v>
      </c>
      <c r="N215" s="9">
        <f>SUM(N4:N214)</f>
        <v>0.99999999999999889</v>
      </c>
      <c r="O215" s="35">
        <f>SUM(O4:O214)</f>
        <v>23.586812855147606</v>
      </c>
      <c r="P215" s="35">
        <f t="shared" ref="P215:R215" si="47">SUM(P4:P214)</f>
        <v>36.520523199025</v>
      </c>
      <c r="Q215" s="35">
        <f t="shared" si="47"/>
        <v>-1.7849379635316187</v>
      </c>
      <c r="R215" s="35">
        <f t="shared" si="47"/>
        <v>26.778764060975167</v>
      </c>
      <c r="S215" s="35">
        <f>SUM(S4:S214)</f>
        <v>10.747793116242551</v>
      </c>
      <c r="V215">
        <f>SUM(V4:V214)</f>
        <v>1.0000000000000044</v>
      </c>
      <c r="W215" s="8">
        <f t="shared" ref="W215:AA215" si="48">SUM(W4:W214)</f>
        <v>22.63147861184833</v>
      </c>
      <c r="X215" s="8">
        <f t="shared" si="48"/>
        <v>33.816323097630352</v>
      </c>
      <c r="Y215" s="8">
        <f t="shared" si="48"/>
        <v>-0.36459208578199098</v>
      </c>
      <c r="Z215" s="8">
        <f t="shared" si="48"/>
        <v>26.986228736966805</v>
      </c>
      <c r="AA215" s="8">
        <f t="shared" si="48"/>
        <v>15.294759318104271</v>
      </c>
    </row>
    <row r="216" spans="1:28" x14ac:dyDescent="0.35">
      <c r="F216" s="41">
        <f>SUM(F4:F214)</f>
        <v>9027114770000</v>
      </c>
      <c r="O216" s="36">
        <f>P216*(1+(O215/100))</f>
        <v>2326.6430849916728</v>
      </c>
      <c r="P216" s="37">
        <f>Q216*(1+(P215/100))</f>
        <v>1882.5981763270013</v>
      </c>
      <c r="Q216" s="37">
        <f>R216*(1+(Q215/100))</f>
        <v>1378.9854684210925</v>
      </c>
      <c r="R216" s="37">
        <f>S216*(1+(R215/100))</f>
        <v>1404.0468333757804</v>
      </c>
      <c r="S216" s="37">
        <f>T216*(1+(S215/100))</f>
        <v>1107.4779311624254</v>
      </c>
      <c r="T216" s="38">
        <v>1000</v>
      </c>
      <c r="W216" s="36">
        <f>X216*(1+(W215/100))</f>
        <v>2393.8170342771773</v>
      </c>
      <c r="X216" s="37">
        <f>Y216*(1+(X215/100))</f>
        <v>1952.0412388193229</v>
      </c>
      <c r="Y216" s="37">
        <f>Z216*(1+(Y215/100))</f>
        <v>1458.7467310659426</v>
      </c>
      <c r="Z216" s="37">
        <f>AA216*(1+(Z215/100))</f>
        <v>1464.0846678942326</v>
      </c>
      <c r="AA216" s="37">
        <f>AB216*(1+(AA215/100))</f>
        <v>1152.9475931810427</v>
      </c>
      <c r="AB216" s="38">
        <v>1000</v>
      </c>
    </row>
    <row r="217" spans="1:28" ht="15" thickBot="1" x14ac:dyDescent="0.4">
      <c r="O217" s="39"/>
      <c r="P217" s="40"/>
      <c r="Q217" s="74" t="s">
        <v>1046</v>
      </c>
      <c r="R217" s="75"/>
      <c r="S217" s="75"/>
      <c r="T217" s="76"/>
      <c r="W217" s="39"/>
      <c r="X217" s="40"/>
      <c r="Y217" s="74" t="s">
        <v>1046</v>
      </c>
      <c r="Z217" s="75"/>
      <c r="AA217" s="75"/>
      <c r="AB217" s="76"/>
    </row>
  </sheetData>
  <mergeCells count="5">
    <mergeCell ref="G2:K2"/>
    <mergeCell ref="O2:S2"/>
    <mergeCell ref="W2:AA2"/>
    <mergeCell ref="Q217:T217"/>
    <mergeCell ref="Y217:AB217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4146E-5A4D-49AD-A828-843647E649F7}">
  <sheetPr codeName="Sheet2"/>
  <dimension ref="A1:AB281"/>
  <sheetViews>
    <sheetView zoomScale="70" zoomScaleNormal="70" workbookViewId="0">
      <selection activeCell="D25" sqref="D25"/>
    </sheetView>
  </sheetViews>
  <sheetFormatPr defaultColWidth="8.81640625" defaultRowHeight="14.5" x14ac:dyDescent="0.35"/>
  <cols>
    <col min="1" max="1" width="34.7265625" customWidth="1"/>
    <col min="2" max="2" width="8.81640625" style="1"/>
    <col min="3" max="5" width="24" style="1" customWidth="1"/>
    <col min="6" max="6" width="23.1796875" customWidth="1"/>
    <col min="7" max="8" width="23" style="2" customWidth="1"/>
    <col min="9" max="9" width="18" customWidth="1"/>
    <col min="10" max="10" width="17.453125" customWidth="1"/>
    <col min="11" max="11" width="16.1796875" customWidth="1"/>
    <col min="14" max="14" width="12.54296875" style="4" customWidth="1"/>
    <col min="15" max="15" width="11" style="4" customWidth="1"/>
    <col min="16" max="16" width="11.26953125" style="4" customWidth="1"/>
    <col min="17" max="17" width="12.453125" style="4" customWidth="1"/>
    <col min="18" max="18" width="11.26953125" style="4" customWidth="1"/>
    <col min="19" max="19" width="11" style="4" customWidth="1"/>
    <col min="20" max="20" width="11.26953125" style="4" customWidth="1"/>
    <col min="21" max="22" width="8.81640625" style="4"/>
    <col min="23" max="23" width="10.81640625" style="4" customWidth="1"/>
    <col min="24" max="24" width="14.26953125" style="4" customWidth="1"/>
    <col min="25" max="25" width="11.7265625" style="4" customWidth="1"/>
    <col min="26" max="26" width="10.81640625" style="4" customWidth="1"/>
    <col min="27" max="28" width="11.7265625" customWidth="1"/>
  </cols>
  <sheetData>
    <row r="1" spans="1:27" ht="15" thickBot="1" x14ac:dyDescent="0.4">
      <c r="F1" s="14"/>
      <c r="I1" s="1"/>
      <c r="J1" s="1"/>
      <c r="K1" s="1"/>
      <c r="N1" s="1"/>
      <c r="O1" s="1"/>
      <c r="P1" s="1"/>
      <c r="Q1" s="1"/>
      <c r="R1" s="1"/>
      <c r="S1" s="1"/>
      <c r="T1"/>
      <c r="U1"/>
      <c r="V1"/>
      <c r="W1"/>
      <c r="X1"/>
      <c r="Y1"/>
      <c r="Z1"/>
    </row>
    <row r="2" spans="1:27" x14ac:dyDescent="0.35">
      <c r="F2" s="23"/>
      <c r="G2" s="73" t="s">
        <v>1041</v>
      </c>
      <c r="H2" s="71"/>
      <c r="I2" s="71"/>
      <c r="J2" s="71"/>
      <c r="K2" s="72"/>
      <c r="N2" s="9" t="s">
        <v>1039</v>
      </c>
      <c r="O2" s="73" t="s">
        <v>1043</v>
      </c>
      <c r="P2" s="71"/>
      <c r="Q2" s="71"/>
      <c r="R2" s="71"/>
      <c r="S2" s="72"/>
      <c r="T2"/>
      <c r="U2"/>
      <c r="V2"/>
      <c r="W2" s="73" t="s">
        <v>1044</v>
      </c>
      <c r="X2" s="71"/>
      <c r="Y2" s="71"/>
      <c r="Z2" s="71"/>
      <c r="AA2" s="72"/>
    </row>
    <row r="3" spans="1:27" x14ac:dyDescent="0.35">
      <c r="A3" s="78" t="s">
        <v>0</v>
      </c>
      <c r="B3" s="78" t="s">
        <v>1</v>
      </c>
      <c r="C3" s="78" t="s">
        <v>997</v>
      </c>
      <c r="D3" s="78" t="s">
        <v>1048</v>
      </c>
      <c r="E3" s="78" t="s">
        <v>1049</v>
      </c>
      <c r="F3" s="79" t="s">
        <v>1040</v>
      </c>
      <c r="G3" s="80" t="s">
        <v>1000</v>
      </c>
      <c r="H3" s="81" t="s">
        <v>999</v>
      </c>
      <c r="I3" s="81" t="s">
        <v>998</v>
      </c>
      <c r="J3" s="81" t="s">
        <v>1001</v>
      </c>
      <c r="K3" s="82" t="s">
        <v>1002</v>
      </c>
      <c r="N3" s="9" t="s">
        <v>1042</v>
      </c>
      <c r="O3" s="31" t="str">
        <f>Table22[[#Headers],[2020]]</f>
        <v>2020</v>
      </c>
      <c r="P3" s="32" t="str">
        <f>Table22[[#Headers],[2019]]</f>
        <v>2019</v>
      </c>
      <c r="Q3" s="32" t="str">
        <f>Table22[[#Headers],[2018]]</f>
        <v>2018</v>
      </c>
      <c r="R3" s="32" t="str">
        <f>Table22[[#Headers],[2017]]</f>
        <v>2017</v>
      </c>
      <c r="S3" s="33" t="str">
        <f>Table22[[#Headers],[2016]]</f>
        <v>2016</v>
      </c>
      <c r="T3"/>
      <c r="U3"/>
      <c r="V3" s="6" t="s">
        <v>1009</v>
      </c>
      <c r="W3" s="31" t="str">
        <f>O3</f>
        <v>2020</v>
      </c>
      <c r="X3" s="32" t="str">
        <f t="shared" ref="X3:AA3" si="0">P3</f>
        <v>2019</v>
      </c>
      <c r="Y3" s="32" t="str">
        <f t="shared" si="0"/>
        <v>2018</v>
      </c>
      <c r="Z3" s="32" t="str">
        <f t="shared" si="0"/>
        <v>2017</v>
      </c>
      <c r="AA3" s="33" t="str">
        <f t="shared" si="0"/>
        <v>2016</v>
      </c>
    </row>
    <row r="4" spans="1:27" x14ac:dyDescent="0.35">
      <c r="A4" s="83" t="s">
        <v>123</v>
      </c>
      <c r="B4" s="84" t="s">
        <v>627</v>
      </c>
      <c r="C4" s="84" t="str">
        <f>Table225[[#This Row],[Ticker]]&amp; ( "US EQUITY")</f>
        <v>TUS EQUITY</v>
      </c>
      <c r="D4" s="85">
        <v>0.41386080403759734</v>
      </c>
      <c r="E4" s="85">
        <v>0.58613919596240271</v>
      </c>
      <c r="F4" s="86">
        <f>_xlfn.XLOOKUP(Table225[[#This Row],[Ticker]],'R'!B:B,'R'!D:D,"not found")</f>
        <v>211450000000</v>
      </c>
      <c r="G4" s="87">
        <v>-21.38458</v>
      </c>
      <c r="H4" s="88">
        <v>45.616140000000001</v>
      </c>
      <c r="I4" s="97">
        <v>-22.24137</v>
      </c>
      <c r="J4" s="97">
        <v>-3.9434849999999999</v>
      </c>
      <c r="K4" s="104">
        <v>29.882619999999999</v>
      </c>
      <c r="N4" s="4">
        <f>'R'!E2</f>
        <v>2.4384899698432192E-2</v>
      </c>
      <c r="O4" s="66">
        <f>N4*Table225[[#This Row],[2020]]</f>
        <v>-0.52146083839309909</v>
      </c>
      <c r="P4" s="3">
        <f>N4*Table225[[#This Row],[2019]]</f>
        <v>1.1123449985296407</v>
      </c>
      <c r="Q4" s="4">
        <f>N4*Table225[[#This Row],[2018]]</f>
        <v>-0.54235357660571881</v>
      </c>
      <c r="R4" s="4">
        <f>N4*Table225[[#This Row],[2017]]</f>
        <v>-9.6161486187271869E-2</v>
      </c>
      <c r="S4" s="47">
        <f>N4*Table225[[#This Row],[2016]]</f>
        <v>0.72868469142636383</v>
      </c>
      <c r="V4" s="4">
        <f>1/275</f>
        <v>3.6363636363636364E-3</v>
      </c>
      <c r="W4" s="66">
        <f>V4*Table225[[#This Row],[2020]]</f>
        <v>-7.7762109090909096E-2</v>
      </c>
      <c r="X4" s="3">
        <f>V4*Table225[[#This Row],[2019]]</f>
        <v>0.16587687272727272</v>
      </c>
      <c r="Y4" s="4">
        <f>V4*Table225[[#This Row],[2018]]</f>
        <v>-8.0877709090909092E-2</v>
      </c>
      <c r="Z4" s="4">
        <f>V4*Table225[[#This Row],[2017]]</f>
        <v>-1.4339945454545455E-2</v>
      </c>
      <c r="AA4" s="47">
        <f>V4*Table225[[#This Row],[2016]]</f>
        <v>0.10866407272727273</v>
      </c>
    </row>
    <row r="5" spans="1:27" x14ac:dyDescent="0.35">
      <c r="A5" s="83" t="s">
        <v>278</v>
      </c>
      <c r="B5" s="84" t="s">
        <v>776</v>
      </c>
      <c r="C5" s="84" t="str">
        <f>Table225[[#This Row],[Ticker]]&amp; ( "US EQUITY")</f>
        <v>HONUS EQUITY</v>
      </c>
      <c r="D5" s="85">
        <v>0.40693186388383668</v>
      </c>
      <c r="E5" s="85">
        <v>0.59306813611616338</v>
      </c>
      <c r="F5" s="86">
        <f>_xlfn.XLOOKUP(Table225[[#This Row],[Ticker]],'R'!B:B,'R'!D:D,"not found")</f>
        <v>79820000000</v>
      </c>
      <c r="G5" s="87">
        <v>22.969470000000001</v>
      </c>
      <c r="H5" s="88">
        <v>36.718020000000003</v>
      </c>
      <c r="I5" s="97">
        <v>-8.1802309999999991</v>
      </c>
      <c r="J5" s="97">
        <v>35.089129999999997</v>
      </c>
      <c r="K5" s="104">
        <v>14.99696</v>
      </c>
      <c r="N5" s="4">
        <f>'R'!E3</f>
        <v>9.2050257457028037E-3</v>
      </c>
      <c r="O5" s="66">
        <f>N5*Table225[[#This Row],[2020]]</f>
        <v>0.21143456271514818</v>
      </c>
      <c r="P5" s="3">
        <f>N5*Table225[[#This Row],[2019]]</f>
        <v>0.33799031943123048</v>
      </c>
      <c r="Q5" s="4">
        <f>N5*Table225[[#This Row],[2018]]</f>
        <v>-7.5299236960796184E-2</v>
      </c>
      <c r="R5" s="4">
        <f>N5*Table225[[#This Row],[2017]]</f>
        <v>0.32299634504431257</v>
      </c>
      <c r="S5" s="47">
        <f>N5*Table225[[#This Row],[2016]]</f>
        <v>0.1380474029072751</v>
      </c>
      <c r="V5" s="4">
        <f t="shared" ref="V5:V68" si="1">1/275</f>
        <v>3.6363636363636364E-3</v>
      </c>
      <c r="W5" s="66">
        <f>V5*Table225[[#This Row],[2020]]</f>
        <v>8.3525345454545458E-2</v>
      </c>
      <c r="X5" s="3">
        <f>V5*Table225[[#This Row],[2019]]</f>
        <v>0.13352007272727273</v>
      </c>
      <c r="Y5" s="4">
        <f>V5*Table225[[#This Row],[2018]]</f>
        <v>-2.9746294545454542E-2</v>
      </c>
      <c r="Z5" s="4">
        <f>V5*Table225[[#This Row],[2017]]</f>
        <v>0.12759683636363636</v>
      </c>
      <c r="AA5" s="47">
        <f>V5*Table225[[#This Row],[2016]]</f>
        <v>5.4534399999999997E-2</v>
      </c>
    </row>
    <row r="6" spans="1:27" x14ac:dyDescent="0.35">
      <c r="A6" s="83" t="s">
        <v>366</v>
      </c>
      <c r="B6" s="84" t="s">
        <v>862</v>
      </c>
      <c r="C6" s="84" t="str">
        <f>Table225[[#This Row],[Ticker]]&amp; ( "US EQUITY")</f>
        <v>NOCUS EQUITY</v>
      </c>
      <c r="D6" s="85">
        <v>0.44744004324959669</v>
      </c>
      <c r="E6" s="85">
        <v>0.55255995675040337</v>
      </c>
      <c r="F6" s="86">
        <f>_xlfn.XLOOKUP(Table225[[#This Row],[Ticker]],'R'!B:B,'R'!D:D,"not found")</f>
        <v>34229999999.999996</v>
      </c>
      <c r="G6" s="87">
        <v>-9.9054760000000002</v>
      </c>
      <c r="H6" s="88">
        <v>42.692790000000002</v>
      </c>
      <c r="I6" s="97">
        <v>-18.961690000000001</v>
      </c>
      <c r="J6" s="97">
        <v>33.902169999999998</v>
      </c>
      <c r="K6" s="104">
        <v>25.189050000000002</v>
      </c>
      <c r="N6" s="4">
        <f>'R'!E4</f>
        <v>3.9474822259509762E-3</v>
      </c>
      <c r="O6" s="66">
        <f>N6*Table225[[#This Row],[2020]]</f>
        <v>-3.9101690449583976E-2</v>
      </c>
      <c r="P6" s="3">
        <f>N6*Table225[[#This Row],[2019]]</f>
        <v>0.16852902970125758</v>
      </c>
      <c r="Q6" s="4">
        <f>N6*Table225[[#This Row],[2018]]</f>
        <v>-7.4850934248992376E-2</v>
      </c>
      <c r="R6" s="4">
        <f>N6*Table225[[#This Row],[2017]]</f>
        <v>0.13382821349616841</v>
      </c>
      <c r="S6" s="47">
        <f>N6*Table225[[#This Row],[2016]]</f>
        <v>9.9433327163590449E-2</v>
      </c>
      <c r="V6" s="4">
        <f t="shared" si="1"/>
        <v>3.6363636363636364E-3</v>
      </c>
      <c r="W6" s="66">
        <f>V6*Table225[[#This Row],[2020]]</f>
        <v>-3.6019912727272729E-2</v>
      </c>
      <c r="X6" s="3">
        <f>V6*Table225[[#This Row],[2019]]</f>
        <v>0.15524650909090909</v>
      </c>
      <c r="Y6" s="4">
        <f>V6*Table225[[#This Row],[2018]]</f>
        <v>-6.8951600000000002E-2</v>
      </c>
      <c r="Z6" s="4">
        <f>V6*Table225[[#This Row],[2017]]</f>
        <v>0.12328061818181818</v>
      </c>
      <c r="AA6" s="47">
        <f>V6*Table225[[#This Row],[2016]]</f>
        <v>9.1596545454545458E-2</v>
      </c>
    </row>
    <row r="7" spans="1:27" x14ac:dyDescent="0.35">
      <c r="A7" s="83" t="s">
        <v>326</v>
      </c>
      <c r="B7" s="84" t="s">
        <v>823</v>
      </c>
      <c r="C7" s="84" t="str">
        <f>Table225[[#This Row],[Ticker]]&amp; ( "US EQUITY")</f>
        <v>LMTUS EQUITY</v>
      </c>
      <c r="D7" s="85">
        <v>0.40758397492296089</v>
      </c>
      <c r="E7" s="85">
        <v>0.59241602507703917</v>
      </c>
      <c r="F7" s="86">
        <f>_xlfn.XLOOKUP(Table225[[#This Row],[Ticker]],'R'!B:B,'R'!D:D,"not found")</f>
        <v>66230000000.000008</v>
      </c>
      <c r="G7" s="87">
        <v>-6.446618</v>
      </c>
      <c r="H7" s="88">
        <v>52.533589999999997</v>
      </c>
      <c r="I7" s="97">
        <v>-16.33483</v>
      </c>
      <c r="J7" s="97">
        <v>31.753</v>
      </c>
      <c r="K7" s="104">
        <v>18.37876</v>
      </c>
      <c r="N7" s="4">
        <f>'R'!E5</f>
        <v>7.6377957296153431E-3</v>
      </c>
      <c r="O7" s="66">
        <f>N7*Table225[[#This Row],[2020]]</f>
        <v>-4.9237951430861404E-2</v>
      </c>
      <c r="P7" s="3">
        <f>N7*Table225[[#This Row],[2019]]</f>
        <v>0.40124082936336325</v>
      </c>
      <c r="Q7" s="4">
        <f>N7*Table225[[#This Row],[2018]]</f>
        <v>-0.12476209481799259</v>
      </c>
      <c r="R7" s="4">
        <f>N7*Table225[[#This Row],[2017]]</f>
        <v>0.242522927802476</v>
      </c>
      <c r="S7" s="47">
        <f>N7*Table225[[#This Row],[2016]]</f>
        <v>0.14037321464362529</v>
      </c>
      <c r="V7" s="4">
        <f t="shared" si="1"/>
        <v>3.6363636363636364E-3</v>
      </c>
      <c r="W7" s="66">
        <f>V7*Table225[[#This Row],[2020]]</f>
        <v>-2.3442247272727274E-2</v>
      </c>
      <c r="X7" s="3">
        <f>V7*Table225[[#This Row],[2019]]</f>
        <v>0.19103123636363636</v>
      </c>
      <c r="Y7" s="4">
        <f>V7*Table225[[#This Row],[2018]]</f>
        <v>-5.9399381818181822E-2</v>
      </c>
      <c r="Z7" s="4">
        <f>V7*Table225[[#This Row],[2017]]</f>
        <v>0.11546545454545455</v>
      </c>
      <c r="AA7" s="47">
        <f>V7*Table225[[#This Row],[2016]]</f>
        <v>6.6831854545454539E-2</v>
      </c>
    </row>
    <row r="8" spans="1:27" x14ac:dyDescent="0.35">
      <c r="A8" s="83" t="s">
        <v>408</v>
      </c>
      <c r="B8" s="84" t="s">
        <v>903</v>
      </c>
      <c r="C8" s="84" t="str">
        <f>Table225[[#This Row],[Ticker]]&amp; ( "US EQUITY")</f>
        <v>RTXUS EQUITY</v>
      </c>
      <c r="D8" s="85">
        <v>0.42525397200016107</v>
      </c>
      <c r="E8" s="85">
        <v>0.57474602799983887</v>
      </c>
      <c r="F8" s="86">
        <f>_xlfn.XLOOKUP(Table225[[#This Row],[Ticker]],'R'!B:B,'R'!D:D,"not found")</f>
        <v>80540000000</v>
      </c>
      <c r="G8" s="87">
        <v>-16.707190000000001</v>
      </c>
      <c r="H8" s="88">
        <v>43.802810000000001</v>
      </c>
      <c r="I8" s="97">
        <v>-14.6875</v>
      </c>
      <c r="J8" s="97">
        <v>19.108499999999999</v>
      </c>
      <c r="K8" s="104">
        <v>17.11618</v>
      </c>
      <c r="N8" s="4">
        <f>'R'!E6</f>
        <v>9.2880577995352511E-3</v>
      </c>
      <c r="O8" s="66">
        <f>N8*Table225[[#This Row],[2020]]</f>
        <v>-0.15517734638781736</v>
      </c>
      <c r="P8" s="3">
        <f>N8*Table225[[#This Row],[2019]]</f>
        <v>0.40684303106206071</v>
      </c>
      <c r="Q8" s="4">
        <f>N8*Table225[[#This Row],[2018]]</f>
        <v>-0.136418348930674</v>
      </c>
      <c r="R8" s="4">
        <f>N8*Table225[[#This Row],[2017]]</f>
        <v>0.17748085246241935</v>
      </c>
      <c r="S8" s="47">
        <f>N8*Table225[[#This Row],[2016]]</f>
        <v>0.15897606914724927</v>
      </c>
      <c r="V8" s="4">
        <f t="shared" si="1"/>
        <v>3.6363636363636364E-3</v>
      </c>
      <c r="W8" s="66">
        <f>V8*Table225[[#This Row],[2020]]</f>
        <v>-6.0753418181818182E-2</v>
      </c>
      <c r="X8" s="3">
        <f>V8*Table225[[#This Row],[2019]]</f>
        <v>0.15928294545454547</v>
      </c>
      <c r="Y8" s="4">
        <f>V8*Table225[[#This Row],[2018]]</f>
        <v>-5.3409090909090906E-2</v>
      </c>
      <c r="Z8" s="4">
        <f>V8*Table225[[#This Row],[2017]]</f>
        <v>6.9485454545454545E-2</v>
      </c>
      <c r="AA8" s="47">
        <f>V8*Table225[[#This Row],[2016]]</f>
        <v>6.2240654545454542E-2</v>
      </c>
    </row>
    <row r="9" spans="1:27" x14ac:dyDescent="0.35">
      <c r="A9" s="83" t="s">
        <v>140</v>
      </c>
      <c r="B9" s="84" t="s">
        <v>644</v>
      </c>
      <c r="C9" s="84" t="str">
        <f>Table225[[#This Row],[Ticker]]&amp; ( "US EQUITY")</f>
        <v>BAUS EQUITY</v>
      </c>
      <c r="D9" s="85">
        <v>0.43944731671010046</v>
      </c>
      <c r="E9" s="85">
        <v>0.56055268328989949</v>
      </c>
      <c r="F9" s="86">
        <f>_xlfn.XLOOKUP(Table225[[#This Row],[Ticker]],'R'!B:B,'R'!D:D,"not found")</f>
        <v>96390000000</v>
      </c>
      <c r="G9" s="87">
        <v>-33.895150000000001</v>
      </c>
      <c r="H9" s="88">
        <v>3.3270599999999999</v>
      </c>
      <c r="I9" s="97">
        <v>11.53054</v>
      </c>
      <c r="J9" s="97">
        <v>94.770899999999997</v>
      </c>
      <c r="K9" s="104">
        <v>11.31889</v>
      </c>
      <c r="N9" s="4">
        <f>'R'!E7</f>
        <v>1.1115916206819008E-2</v>
      </c>
      <c r="O9" s="66">
        <f>N9*Table225[[#This Row],[2020]]</f>
        <v>-0.37677564721756129</v>
      </c>
      <c r="P9" s="3">
        <f>N9*Table225[[#This Row],[2019]]</f>
        <v>3.6983320175059245E-2</v>
      </c>
      <c r="Q9" s="4">
        <f>N9*Table225[[#This Row],[2018]]</f>
        <v>0.12817251645937486</v>
      </c>
      <c r="R9" s="4">
        <f>N9*Table225[[#This Row],[2017]]</f>
        <v>1.0534653832448235</v>
      </c>
      <c r="S9" s="47">
        <f>N9*Table225[[#This Row],[2016]]</f>
        <v>0.12581983279420159</v>
      </c>
      <c r="V9" s="4">
        <f t="shared" si="1"/>
        <v>3.6363636363636364E-3</v>
      </c>
      <c r="W9" s="66">
        <f>V9*Table225[[#This Row],[2020]]</f>
        <v>-0.12325509090909091</v>
      </c>
      <c r="X9" s="3">
        <f>V9*Table225[[#This Row],[2019]]</f>
        <v>1.20984E-2</v>
      </c>
      <c r="Y9" s="4">
        <f>V9*Table225[[#This Row],[2018]]</f>
        <v>4.1929236363636366E-2</v>
      </c>
      <c r="Z9" s="4">
        <f>V9*Table225[[#This Row],[2017]]</f>
        <v>0.34462145454545451</v>
      </c>
      <c r="AA9" s="47">
        <f>V9*Table225[[#This Row],[2016]]</f>
        <v>4.1159599999999998E-2</v>
      </c>
    </row>
    <row r="10" spans="1:27" x14ac:dyDescent="0.35">
      <c r="A10" s="83" t="s">
        <v>68</v>
      </c>
      <c r="B10" s="84" t="s">
        <v>575</v>
      </c>
      <c r="C10" s="84" t="str">
        <f>Table225[[#This Row],[Ticker]]&amp; ( "US EQUITY")</f>
        <v>UNHUS EQUITY</v>
      </c>
      <c r="D10" s="85">
        <v>0.48715190716458784</v>
      </c>
      <c r="E10" s="85">
        <v>0.51284809283541211</v>
      </c>
      <c r="F10" s="86">
        <f>_xlfn.XLOOKUP(Table225[[#This Row],[Ticker]],'R'!B:B,'R'!D:D,"not found")</f>
        <v>112110000000</v>
      </c>
      <c r="G10" s="87">
        <v>21.20476</v>
      </c>
      <c r="H10" s="88">
        <v>19.987110000000001</v>
      </c>
      <c r="I10" s="97">
        <v>14.52073</v>
      </c>
      <c r="J10" s="97">
        <v>39.82423</v>
      </c>
      <c r="K10" s="104">
        <v>38.405459999999998</v>
      </c>
      <c r="N10" s="4">
        <f>'R'!E8</f>
        <v>1.2928782715494127E-2</v>
      </c>
      <c r="O10" s="66">
        <f>N10*Table225[[#This Row],[2020]]</f>
        <v>0.27415173457420128</v>
      </c>
      <c r="P10" s="3">
        <f>N10*Table225[[#This Row],[2019]]</f>
        <v>0.25840900230067987</v>
      </c>
      <c r="Q10" s="4">
        <f>N10*Table225[[#This Row],[2018]]</f>
        <v>0.18773536304035704</v>
      </c>
      <c r="R10" s="4">
        <f>N10*Table225[[#This Row],[2017]]</f>
        <v>0.51487881648186273</v>
      </c>
      <c r="S10" s="47">
        <f>N10*Table225[[#This Row],[2016]]</f>
        <v>0.49653584742860107</v>
      </c>
      <c r="V10" s="4">
        <f t="shared" si="1"/>
        <v>3.6363636363636364E-3</v>
      </c>
      <c r="W10" s="66">
        <f>V10*Table225[[#This Row],[2020]]</f>
        <v>7.7108218181818178E-2</v>
      </c>
      <c r="X10" s="3">
        <f>V10*Table225[[#This Row],[2019]]</f>
        <v>7.2680400000000006E-2</v>
      </c>
      <c r="Y10" s="4">
        <f>V10*Table225[[#This Row],[2018]]</f>
        <v>5.2802654545454547E-2</v>
      </c>
      <c r="Z10" s="4">
        <f>V10*Table225[[#This Row],[2017]]</f>
        <v>0.14481538181818182</v>
      </c>
      <c r="AA10" s="47">
        <f>V10*Table225[[#This Row],[2016]]</f>
        <v>0.13965621818181817</v>
      </c>
    </row>
    <row r="11" spans="1:27" x14ac:dyDescent="0.35">
      <c r="A11" s="83" t="s">
        <v>493</v>
      </c>
      <c r="B11" s="84" t="s">
        <v>977</v>
      </c>
      <c r="C11" s="84" t="str">
        <f>Table225[[#This Row],[Ticker]]&amp; ( "US EQUITY")</f>
        <v>WFCUS EQUITY</v>
      </c>
      <c r="D11" s="85">
        <v>0.49399958144439365</v>
      </c>
      <c r="E11" s="85">
        <v>0.50600041855560629</v>
      </c>
      <c r="F11" s="86">
        <f>_xlfn.XLOOKUP(Table225[[#This Row],[Ticker]],'R'!B:B,'R'!D:D,"not found")</f>
        <v>276810000000</v>
      </c>
      <c r="G11" s="87">
        <v>-41.662379999999999</v>
      </c>
      <c r="H11" s="88">
        <v>21.405529999999999</v>
      </c>
      <c r="I11" s="97">
        <v>-21.824120000000001</v>
      </c>
      <c r="J11" s="97">
        <v>13.193009999999999</v>
      </c>
      <c r="K11" s="104">
        <v>4.66615</v>
      </c>
      <c r="N11" s="4">
        <f>'R'!E9</f>
        <v>3.1922365029666659E-2</v>
      </c>
      <c r="O11" s="66">
        <f>N11*Table225[[#This Row],[2020]]</f>
        <v>-1.3299617023646837</v>
      </c>
      <c r="P11" s="3">
        <f>N11*Table225[[#This Row],[2019]]</f>
        <v>0.68331514231348056</v>
      </c>
      <c r="Q11" s="4">
        <f>N11*Table225[[#This Row],[2018]]</f>
        <v>-0.69667752509124869</v>
      </c>
      <c r="R11" s="4">
        <f>N11*Table225[[#This Row],[2017]]</f>
        <v>0.42115208106004248</v>
      </c>
      <c r="S11" s="47">
        <f>N11*Table225[[#This Row],[2016]]</f>
        <v>0.14895454358317908</v>
      </c>
      <c r="V11" s="4">
        <f t="shared" si="1"/>
        <v>3.6363636363636364E-3</v>
      </c>
      <c r="W11" s="66">
        <f>V11*Table225[[#This Row],[2020]]</f>
        <v>-0.15149956363636363</v>
      </c>
      <c r="X11" s="3">
        <f>V11*Table225[[#This Row],[2019]]</f>
        <v>7.7838290909090904E-2</v>
      </c>
      <c r="Y11" s="4">
        <f>V11*Table225[[#This Row],[2018]]</f>
        <v>-7.9360436363636364E-2</v>
      </c>
      <c r="Z11" s="4">
        <f>V11*Table225[[#This Row],[2017]]</f>
        <v>4.7974581818181816E-2</v>
      </c>
      <c r="AA11" s="47">
        <f>V11*Table225[[#This Row],[2016]]</f>
        <v>1.6967818181818181E-2</v>
      </c>
    </row>
    <row r="12" spans="1:27" x14ac:dyDescent="0.35">
      <c r="A12" s="83" t="s">
        <v>277</v>
      </c>
      <c r="B12" s="84" t="s">
        <v>775</v>
      </c>
      <c r="C12" s="84" t="str">
        <f>Table225[[#This Row],[Ticker]]&amp; ( "US EQUITY")</f>
        <v>HDUS EQUITY</v>
      </c>
      <c r="D12" s="85">
        <v>0.35319412434857717</v>
      </c>
      <c r="E12" s="85">
        <v>0.64680587565142278</v>
      </c>
      <c r="F12" s="86">
        <f>_xlfn.XLOOKUP(Table225[[#This Row],[Ticker]],'R'!B:B,'R'!D:D,"not found")</f>
        <v>167680000000</v>
      </c>
      <c r="G12" s="87">
        <v>24.549939999999999</v>
      </c>
      <c r="H12" s="88">
        <v>30.5441</v>
      </c>
      <c r="I12" s="97">
        <v>-7.31616</v>
      </c>
      <c r="J12" s="97">
        <v>44.612119999999997</v>
      </c>
      <c r="K12" s="104">
        <v>3.5436749999999999</v>
      </c>
      <c r="N12" s="4">
        <f>'R'!E10</f>
        <v>1.9337242759201279E-2</v>
      </c>
      <c r="O12" s="66">
        <f>N12*Table225[[#This Row],[2020]]</f>
        <v>0.47472814950382586</v>
      </c>
      <c r="P12" s="3">
        <f>N12*Table225[[#This Row],[2019]]</f>
        <v>0.59063867656131985</v>
      </c>
      <c r="Q12" s="4">
        <f>N12*Table225[[#This Row],[2018]]</f>
        <v>-0.14147436198515803</v>
      </c>
      <c r="R12" s="4">
        <f>N12*Table225[[#This Row],[2017]]</f>
        <v>0.86267539444261854</v>
      </c>
      <c r="S12" s="47">
        <f>N12*Table225[[#This Row],[2016]]</f>
        <v>6.8524903734712594E-2</v>
      </c>
      <c r="V12" s="4">
        <f t="shared" si="1"/>
        <v>3.6363636363636364E-3</v>
      </c>
      <c r="W12" s="66">
        <f>V12*Table225[[#This Row],[2020]]</f>
        <v>8.9272509090909086E-2</v>
      </c>
      <c r="X12" s="3">
        <f>V12*Table225[[#This Row],[2019]]</f>
        <v>0.11106945454545454</v>
      </c>
      <c r="Y12" s="4">
        <f>V12*Table225[[#This Row],[2018]]</f>
        <v>-2.6604218181818181E-2</v>
      </c>
      <c r="Z12" s="4">
        <f>V12*Table225[[#This Row],[2017]]</f>
        <v>0.1622258909090909</v>
      </c>
      <c r="AA12" s="47">
        <f>V12*Table225[[#This Row],[2016]]</f>
        <v>1.288609090909091E-2</v>
      </c>
    </row>
    <row r="13" spans="1:27" x14ac:dyDescent="0.35">
      <c r="A13" s="83" t="s">
        <v>351</v>
      </c>
      <c r="B13" s="84" t="s">
        <v>848</v>
      </c>
      <c r="C13" s="84" t="str">
        <f>Table225[[#This Row],[Ticker]]&amp; ( "US EQUITY")</f>
        <v>MSUS EQUITY</v>
      </c>
      <c r="D13" s="85">
        <v>0.49665831672955812</v>
      </c>
      <c r="E13" s="85">
        <v>0.50334168327044182</v>
      </c>
      <c r="F13" s="86">
        <f>_xlfn.XLOOKUP(Table225[[#This Row],[Ticker]],'R'!B:B,'R'!D:D,"not found")</f>
        <v>61080000000</v>
      </c>
      <c r="G13" s="87">
        <v>38.056609999999999</v>
      </c>
      <c r="H13" s="88">
        <v>32.655479999999997</v>
      </c>
      <c r="I13" s="97">
        <v>-22.766639999999999</v>
      </c>
      <c r="J13" s="97">
        <v>26.621079999999999</v>
      </c>
      <c r="K13" s="104">
        <v>36.058799999999998</v>
      </c>
      <c r="N13" s="4">
        <f>'R'!E11</f>
        <v>7.043885900119359E-3</v>
      </c>
      <c r="O13" s="66">
        <f>N13*Table225[[#This Row],[2020]]</f>
        <v>0.26806641858534141</v>
      </c>
      <c r="P13" s="3">
        <f>N13*Table225[[#This Row],[2019]]</f>
        <v>0.23002147513362969</v>
      </c>
      <c r="Q13" s="4">
        <f>N13*Table225[[#This Row],[2018]]</f>
        <v>-0.16036561448909339</v>
      </c>
      <c r="R13" s="4">
        <f>N13*Table225[[#This Row],[2017]]</f>
        <v>0.18751585005794946</v>
      </c>
      <c r="S13" s="47">
        <f>N13*Table225[[#This Row],[2016]]</f>
        <v>0.25399407289522391</v>
      </c>
      <c r="V13" s="4">
        <f t="shared" si="1"/>
        <v>3.6363636363636364E-3</v>
      </c>
      <c r="W13" s="66">
        <f>V13*Table225[[#This Row],[2020]]</f>
        <v>0.13838767272727273</v>
      </c>
      <c r="X13" s="3">
        <f>V13*Table225[[#This Row],[2019]]</f>
        <v>0.11874719999999998</v>
      </c>
      <c r="Y13" s="4">
        <f>V13*Table225[[#This Row],[2018]]</f>
        <v>-8.2787781818181819E-2</v>
      </c>
      <c r="Z13" s="4">
        <f>V13*Table225[[#This Row],[2017]]</f>
        <v>9.6803927272727269E-2</v>
      </c>
      <c r="AA13" s="47">
        <f>V13*Table225[[#This Row],[2016]]</f>
        <v>0.1311229090909091</v>
      </c>
    </row>
    <row r="14" spans="1:27" x14ac:dyDescent="0.35">
      <c r="A14" s="83" t="s">
        <v>472</v>
      </c>
      <c r="B14" s="84" t="s">
        <v>472</v>
      </c>
      <c r="C14" s="84" t="str">
        <f>Table225[[#This Row],[Ticker]]&amp; ( "US EQUITY")</f>
        <v>UPSUS EQUITY</v>
      </c>
      <c r="D14" s="85">
        <v>0.34229732323643286</v>
      </c>
      <c r="E14" s="85">
        <v>0.65770267676356708</v>
      </c>
      <c r="F14" s="86">
        <f>_xlfn.XLOOKUP(Table225[[#This Row],[Ticker]],'R'!B:B,'R'!D:D,"not found")</f>
        <v>85260000000</v>
      </c>
      <c r="G14" s="87">
        <v>48.69849</v>
      </c>
      <c r="H14" s="88">
        <v>24.207170000000001</v>
      </c>
      <c r="I14" s="97">
        <v>-15.47944</v>
      </c>
      <c r="J14" s="97">
        <v>7.1429729999999996</v>
      </c>
      <c r="K14" s="104">
        <v>22.707039999999999</v>
      </c>
      <c r="N14" s="4">
        <f>'R'!E12</f>
        <v>9.8323790413257454E-3</v>
      </c>
      <c r="O14" s="66">
        <f>N14*Table225[[#This Row],[2020]]</f>
        <v>0.47882201242021138</v>
      </c>
      <c r="P14" s="3">
        <f>N14*Table225[[#This Row],[2019]]</f>
        <v>0.23801407095780935</v>
      </c>
      <c r="Q14" s="4">
        <f>N14*Table225[[#This Row],[2018]]</f>
        <v>-0.15219972142745941</v>
      </c>
      <c r="R14" s="4">
        <f>N14*Table225[[#This Row],[2017]]</f>
        <v>7.0232418017955683E-2</v>
      </c>
      <c r="S14" s="47">
        <f>N14*Table225[[#This Row],[2016]]</f>
        <v>0.22326422418654535</v>
      </c>
      <c r="V14" s="4">
        <f t="shared" si="1"/>
        <v>3.6363636363636364E-3</v>
      </c>
      <c r="W14" s="66">
        <f>V14*Table225[[#This Row],[2020]]</f>
        <v>0.17708541818181819</v>
      </c>
      <c r="X14" s="3">
        <f>V14*Table225[[#This Row],[2019]]</f>
        <v>8.8026072727272739E-2</v>
      </c>
      <c r="Y14" s="4">
        <f>V14*Table225[[#This Row],[2018]]</f>
        <v>-5.6288872727272725E-2</v>
      </c>
      <c r="Z14" s="4">
        <f>V14*Table225[[#This Row],[2017]]</f>
        <v>2.5974447272727273E-2</v>
      </c>
      <c r="AA14" s="47">
        <f>V14*Table225[[#This Row],[2016]]</f>
        <v>8.2571054545454547E-2</v>
      </c>
    </row>
    <row r="15" spans="1:27" x14ac:dyDescent="0.35">
      <c r="A15" s="83" t="s">
        <v>259</v>
      </c>
      <c r="B15" s="84" t="s">
        <v>757</v>
      </c>
      <c r="C15" s="84" t="str">
        <f>Table225[[#This Row],[Ticker]]&amp; ( "US EQUITY")</f>
        <v>GDUS EQUITY</v>
      </c>
      <c r="D15" s="85">
        <v>0.44293518894004807</v>
      </c>
      <c r="E15" s="85">
        <v>0.55706481105995198</v>
      </c>
      <c r="F15" s="86">
        <f>_xlfn.XLOOKUP(Table225[[#This Row],[Ticker]],'R'!B:B,'R'!D:D,"not found")</f>
        <v>42990000000</v>
      </c>
      <c r="G15" s="87">
        <v>-13.16658</v>
      </c>
      <c r="H15" s="88">
        <v>14.767910000000001</v>
      </c>
      <c r="I15" s="97">
        <v>-21.347300000000001</v>
      </c>
      <c r="J15" s="97">
        <v>19.843689999999999</v>
      </c>
      <c r="K15" s="104">
        <v>28.444230000000001</v>
      </c>
      <c r="N15" s="4">
        <f>'R'!E13</f>
        <v>4.9577055475790964E-3</v>
      </c>
      <c r="O15" s="66">
        <f>N15*Table225[[#This Row],[2020]]</f>
        <v>-6.5276026708643978E-2</v>
      </c>
      <c r="P15" s="3">
        <f>N15*Table225[[#This Row],[2019]]</f>
        <v>7.3214949333148815E-2</v>
      </c>
      <c r="Q15" s="4">
        <f>N15*Table225[[#This Row],[2018]]</f>
        <v>-0.10583362763583525</v>
      </c>
      <c r="R15" s="4">
        <f>N15*Table225[[#This Row],[2017]]</f>
        <v>9.8379171997439827E-2</v>
      </c>
      <c r="S15" s="47">
        <f>N15*Table225[[#This Row],[2016]]</f>
        <v>0.14101811686761576</v>
      </c>
      <c r="V15" s="4">
        <f t="shared" si="1"/>
        <v>3.6363636363636364E-3</v>
      </c>
      <c r="W15" s="66">
        <f>V15*Table225[[#This Row],[2020]]</f>
        <v>-4.7878472727272726E-2</v>
      </c>
      <c r="X15" s="3">
        <f>V15*Table225[[#This Row],[2019]]</f>
        <v>5.3701490909090911E-2</v>
      </c>
      <c r="Y15" s="4">
        <f>V15*Table225[[#This Row],[2018]]</f>
        <v>-7.7626545454545462E-2</v>
      </c>
      <c r="Z15" s="4">
        <f>V15*Table225[[#This Row],[2017]]</f>
        <v>7.2158872727272727E-2</v>
      </c>
      <c r="AA15" s="47">
        <f>V15*Table225[[#This Row],[2016]]</f>
        <v>0.10343356363636363</v>
      </c>
    </row>
    <row r="16" spans="1:27" x14ac:dyDescent="0.35">
      <c r="A16" s="83" t="s">
        <v>260</v>
      </c>
      <c r="B16" s="84" t="s">
        <v>758</v>
      </c>
      <c r="C16" s="84" t="str">
        <f>Table225[[#This Row],[Ticker]]&amp; ( "US EQUITY")</f>
        <v>GEUS EQUITY</v>
      </c>
      <c r="D16" s="85">
        <v>0.41940383736866149</v>
      </c>
      <c r="E16" s="85">
        <v>0.58059616263133851</v>
      </c>
      <c r="F16" s="86">
        <f>_xlfn.XLOOKUP(Table225[[#This Row],[Ticker]],'R'!B:B,'R'!D:D,"not found")</f>
        <v>292160000000</v>
      </c>
      <c r="G16" s="87">
        <v>-2.7246589999999999</v>
      </c>
      <c r="H16" s="88">
        <v>53.977110000000003</v>
      </c>
      <c r="I16" s="97">
        <v>-55.389159999999997</v>
      </c>
      <c r="J16" s="97">
        <v>-42.922229999999999</v>
      </c>
      <c r="K16" s="104">
        <v>4.589677</v>
      </c>
      <c r="N16" s="4">
        <f>'R'!E14</f>
        <v>3.3692562288455664E-2</v>
      </c>
      <c r="O16" s="66">
        <f>N16*Table225[[#This Row],[2020]]</f>
        <v>-9.1800743072301322E-2</v>
      </c>
      <c r="P16" s="3">
        <f>N16*Table225[[#This Row],[2019]]</f>
        <v>1.8186271408258232</v>
      </c>
      <c r="Q16" s="4">
        <f>N16*Table225[[#This Row],[2018]]</f>
        <v>-1.8662027234052367</v>
      </c>
      <c r="R16" s="4">
        <f>N16*Table225[[#This Row],[2017]]</f>
        <v>-1.4461599078344203</v>
      </c>
      <c r="S16" s="47">
        <f>N16*Table225[[#This Row],[2016]]</f>
        <v>0.15463797820639233</v>
      </c>
      <c r="V16" s="4">
        <f t="shared" si="1"/>
        <v>3.6363636363636364E-3</v>
      </c>
      <c r="W16" s="66">
        <f>V16*Table225[[#This Row],[2020]]</f>
        <v>-9.9078509090909095E-3</v>
      </c>
      <c r="X16" s="3">
        <f>V16*Table225[[#This Row],[2019]]</f>
        <v>0.19628040000000002</v>
      </c>
      <c r="Y16" s="4">
        <f>V16*Table225[[#This Row],[2018]]</f>
        <v>-0.20141512727272726</v>
      </c>
      <c r="Z16" s="4">
        <f>V16*Table225[[#This Row],[2017]]</f>
        <v>-0.15608083636363637</v>
      </c>
      <c r="AA16" s="47">
        <f>V16*Table225[[#This Row],[2016]]</f>
        <v>1.6689734545454544E-2</v>
      </c>
    </row>
    <row r="17" spans="1:27" x14ac:dyDescent="0.35">
      <c r="A17" s="83" t="s">
        <v>162</v>
      </c>
      <c r="B17" s="84" t="s">
        <v>666</v>
      </c>
      <c r="C17" s="84" t="str">
        <f>Table225[[#This Row],[Ticker]]&amp; ( "US EQUITY")</f>
        <v>CHTRUS EQUITY</v>
      </c>
      <c r="D17" s="85">
        <v>0.43066199198728017</v>
      </c>
      <c r="E17" s="85">
        <v>0.56933800801271983</v>
      </c>
      <c r="F17" s="86">
        <f>_xlfn.XLOOKUP(Table225[[#This Row],[Ticker]],'R'!B:B,'R'!D:D,"not found")</f>
        <v>20590000000</v>
      </c>
      <c r="G17" s="87">
        <v>36.379550000000002</v>
      </c>
      <c r="H17" s="88">
        <v>70.221440000000001</v>
      </c>
      <c r="I17" s="97">
        <v>-15.177390000000001</v>
      </c>
      <c r="J17" s="97">
        <v>16.685189999999999</v>
      </c>
      <c r="K17" s="104">
        <v>42.18309</v>
      </c>
      <c r="N17" s="4">
        <f>'R'!E15</f>
        <v>2.3744860950140403E-3</v>
      </c>
      <c r="O17" s="66">
        <f>N17*Table225[[#This Row],[2020]]</f>
        <v>8.6382735617868037E-2</v>
      </c>
      <c r="P17" s="3">
        <f>N17*Table225[[#This Row],[2019]]</f>
        <v>0.16673983285186272</v>
      </c>
      <c r="Q17" s="4">
        <f>N17*Table225[[#This Row],[2018]]</f>
        <v>-3.6038501513605145E-2</v>
      </c>
      <c r="R17" s="4">
        <f>N17*Table225[[#This Row],[2017]]</f>
        <v>3.9618751647667309E-2</v>
      </c>
      <c r="S17" s="47">
        <f>N17*Table225[[#This Row],[2016]]</f>
        <v>0.10016316064972582</v>
      </c>
      <c r="V17" s="4">
        <f t="shared" si="1"/>
        <v>3.6363636363636364E-3</v>
      </c>
      <c r="W17" s="66">
        <f>V17*Table225[[#This Row],[2020]]</f>
        <v>0.13228927272727273</v>
      </c>
      <c r="X17" s="3">
        <f>V17*Table225[[#This Row],[2019]]</f>
        <v>0.2553506909090909</v>
      </c>
      <c r="Y17" s="4">
        <f>V17*Table225[[#This Row],[2018]]</f>
        <v>-5.5190509090909091E-2</v>
      </c>
      <c r="Z17" s="4">
        <f>V17*Table225[[#This Row],[2017]]</f>
        <v>6.0673418181818178E-2</v>
      </c>
      <c r="AA17" s="47">
        <f>V17*Table225[[#This Row],[2016]]</f>
        <v>0.15339305454545454</v>
      </c>
    </row>
    <row r="18" spans="1:27" x14ac:dyDescent="0.35">
      <c r="A18" s="83" t="s">
        <v>389</v>
      </c>
      <c r="B18" s="84" t="s">
        <v>885</v>
      </c>
      <c r="C18" s="84" t="str">
        <f>Table225[[#This Row],[Ticker]]&amp; ( "US EQUITY")</f>
        <v>PFEUS EQUITY</v>
      </c>
      <c r="D18" s="85">
        <v>0.46722687128833745</v>
      </c>
      <c r="E18" s="85">
        <v>0.5327731287116626</v>
      </c>
      <c r="F18" s="86">
        <f>_xlfn.XLOOKUP(Table225[[#This Row],[Ticker]],'R'!B:B,'R'!D:D,"not found")</f>
        <v>199330000000</v>
      </c>
      <c r="G18" s="87">
        <v>3.2140970000000002</v>
      </c>
      <c r="H18" s="88">
        <v>-6.9188830000000001</v>
      </c>
      <c r="I18" s="97">
        <v>24.819659999999999</v>
      </c>
      <c r="J18" s="97">
        <v>15.882389999999999</v>
      </c>
      <c r="K18" s="104">
        <v>4.4625880000000002</v>
      </c>
      <c r="N18" s="4">
        <f>'R'!E16</f>
        <v>2.2987193458919315E-2</v>
      </c>
      <c r="O18" s="66">
        <f>N18*Table225[[#This Row],[2020]]</f>
        <v>7.3883069534732199E-2</v>
      </c>
      <c r="P18" s="3">
        <f>N18*Table225[[#This Row],[2019]]</f>
        <v>-0.15904570204062804</v>
      </c>
      <c r="Q18" s="4">
        <f>N18*Table225[[#This Row],[2018]]</f>
        <v>0.5705343260046013</v>
      </c>
      <c r="R18" s="4">
        <f>N18*Table225[[#This Row],[2017]]</f>
        <v>0.36509157152000554</v>
      </c>
      <c r="S18" s="47">
        <f>N18*Table225[[#This Row],[2016]]</f>
        <v>0.10258237368345184</v>
      </c>
      <c r="V18" s="4">
        <f t="shared" si="1"/>
        <v>3.6363636363636364E-3</v>
      </c>
      <c r="W18" s="66">
        <f>V18*Table225[[#This Row],[2020]]</f>
        <v>1.1687625454545455E-2</v>
      </c>
      <c r="X18" s="3">
        <f>V18*Table225[[#This Row],[2019]]</f>
        <v>-2.5159574545454547E-2</v>
      </c>
      <c r="Y18" s="4">
        <f>V18*Table225[[#This Row],[2018]]</f>
        <v>9.025330909090909E-2</v>
      </c>
      <c r="Z18" s="4">
        <f>V18*Table225[[#This Row],[2017]]</f>
        <v>5.775414545454545E-2</v>
      </c>
      <c r="AA18" s="47">
        <f>V18*Table225[[#This Row],[2016]]</f>
        <v>1.6227592727272727E-2</v>
      </c>
    </row>
    <row r="19" spans="1:27" x14ac:dyDescent="0.35">
      <c r="A19" s="83" t="s">
        <v>262</v>
      </c>
      <c r="B19" s="84" t="s">
        <v>760</v>
      </c>
      <c r="C19" s="84" t="str">
        <f>Table225[[#This Row],[Ticker]]&amp; ( "US EQUITY")</f>
        <v>GMUS EQUITY</v>
      </c>
      <c r="D19" s="85">
        <v>0.45718569727719194</v>
      </c>
      <c r="E19" s="85">
        <v>0.54281430272280806</v>
      </c>
      <c r="F19" s="86">
        <f>_xlfn.XLOOKUP(Table225[[#This Row],[Ticker]],'R'!B:B,'R'!D:D,"not found")</f>
        <v>51020000000</v>
      </c>
      <c r="G19" s="87">
        <v>15.206810000000001</v>
      </c>
      <c r="H19" s="88">
        <v>14.013299999999999</v>
      </c>
      <c r="I19" s="97">
        <v>-15.04993</v>
      </c>
      <c r="J19" s="97">
        <v>22.501919999999998</v>
      </c>
      <c r="K19" s="104">
        <v>7.4557539999999998</v>
      </c>
      <c r="N19" s="4">
        <f>'R'!E17</f>
        <v>5.8837435924048737E-3</v>
      </c>
      <c r="O19" s="66">
        <f>N19*Table225[[#This Row],[2020]]</f>
        <v>8.9472970898418366E-2</v>
      </c>
      <c r="P19" s="3">
        <f>N19*Table225[[#This Row],[2019]]</f>
        <v>8.2450664083447214E-2</v>
      </c>
      <c r="Q19" s="4">
        <f>N19*Table225[[#This Row],[2018]]</f>
        <v>-8.8549929203641881E-2</v>
      </c>
      <c r="R19" s="4">
        <f>N19*Table225[[#This Row],[2017]]</f>
        <v>0.13239552761680706</v>
      </c>
      <c r="S19" s="47">
        <f>N19*Table225[[#This Row],[2016]]</f>
        <v>4.3867744824047004E-2</v>
      </c>
      <c r="V19" s="4">
        <f t="shared" si="1"/>
        <v>3.6363636363636364E-3</v>
      </c>
      <c r="W19" s="66">
        <f>V19*Table225[[#This Row],[2020]]</f>
        <v>5.5297490909090911E-2</v>
      </c>
      <c r="X19" s="3">
        <f>V19*Table225[[#This Row],[2019]]</f>
        <v>5.0957454545454542E-2</v>
      </c>
      <c r="Y19" s="4">
        <f>V19*Table225[[#This Row],[2018]]</f>
        <v>-5.4727018181818181E-2</v>
      </c>
      <c r="Z19" s="4">
        <f>V19*Table225[[#This Row],[2017]]</f>
        <v>8.1825163636363635E-2</v>
      </c>
      <c r="AA19" s="47">
        <f>V19*Table225[[#This Row],[2016]]</f>
        <v>2.7111832727272727E-2</v>
      </c>
    </row>
    <row r="20" spans="1:27" x14ac:dyDescent="0.35">
      <c r="A20" s="83" t="s">
        <v>86</v>
      </c>
      <c r="B20" s="84" t="s">
        <v>590</v>
      </c>
      <c r="C20" s="84" t="str">
        <f>Table225[[#This Row],[Ticker]]&amp; ( "US EQUITY")</f>
        <v>AFLUS EQUITY</v>
      </c>
      <c r="D20" s="85">
        <v>0.46457168137726118</v>
      </c>
      <c r="E20" s="85">
        <v>0.53542831862273876</v>
      </c>
      <c r="F20" s="86">
        <f>_xlfn.XLOOKUP(Table225[[#This Row],[Ticker]],'R'!B:B,'R'!D:D,"not found")</f>
        <v>25420000000</v>
      </c>
      <c r="G20" s="87">
        <v>-13.57672</v>
      </c>
      <c r="H20" s="88">
        <v>18.557320000000001</v>
      </c>
      <c r="I20" s="97">
        <v>6.2093259999999999</v>
      </c>
      <c r="J20" s="97">
        <v>28.996680000000001</v>
      </c>
      <c r="K20" s="104">
        <v>19.114799999999999</v>
      </c>
      <c r="N20" s="4">
        <f>'R'!E18</f>
        <v>2.9314927894733807E-3</v>
      </c>
      <c r="O20" s="66">
        <f>N20*Table225[[#This Row],[2020]]</f>
        <v>-3.9800056784699035E-2</v>
      </c>
      <c r="P20" s="3">
        <f>N20*Table225[[#This Row],[2019]]</f>
        <v>5.4400649771950159E-2</v>
      </c>
      <c r="Q20" s="4">
        <f>N20*Table225[[#This Row],[2018]]</f>
        <v>1.820259439648959E-2</v>
      </c>
      <c r="R20" s="4">
        <f>N20*Table225[[#This Row],[2017]]</f>
        <v>8.500355833866699E-2</v>
      </c>
      <c r="S20" s="47">
        <f>N20*Table225[[#This Row],[2016]]</f>
        <v>5.6034898372225778E-2</v>
      </c>
      <c r="V20" s="4">
        <f t="shared" si="1"/>
        <v>3.6363636363636364E-3</v>
      </c>
      <c r="W20" s="66">
        <f>V20*Table225[[#This Row],[2020]]</f>
        <v>-4.9369890909090906E-2</v>
      </c>
      <c r="X20" s="3">
        <f>V20*Table225[[#This Row],[2019]]</f>
        <v>6.7481163636363639E-2</v>
      </c>
      <c r="Y20" s="4">
        <f>V20*Table225[[#This Row],[2018]]</f>
        <v>2.2579367272727271E-2</v>
      </c>
      <c r="Z20" s="4">
        <f>V20*Table225[[#This Row],[2017]]</f>
        <v>0.10544247272727274</v>
      </c>
      <c r="AA20" s="47">
        <f>V20*Table225[[#This Row],[2016]]</f>
        <v>6.9508363636363632E-2</v>
      </c>
    </row>
    <row r="21" spans="1:27" x14ac:dyDescent="0.35">
      <c r="A21" s="83" t="s">
        <v>200</v>
      </c>
      <c r="B21" s="84" t="s">
        <v>702</v>
      </c>
      <c r="C21" s="84" t="str">
        <f>Table225[[#This Row],[Ticker]]&amp; ( "US EQUITY")</f>
        <v>DALUS EQUITY</v>
      </c>
      <c r="D21" s="85">
        <v>0.47716581042298695</v>
      </c>
      <c r="E21" s="85">
        <v>0.52283418957701311</v>
      </c>
      <c r="F21" s="86">
        <f>_xlfn.XLOOKUP(Table225[[#This Row],[Ticker]],'R'!B:B,'R'!D:D,"not found")</f>
        <v>39480000000</v>
      </c>
      <c r="G21" s="87">
        <v>-30.768450000000001</v>
      </c>
      <c r="H21" s="88">
        <v>20.39471</v>
      </c>
      <c r="I21" s="97">
        <v>-8.6671770000000006</v>
      </c>
      <c r="J21" s="97">
        <v>16.212350000000001</v>
      </c>
      <c r="K21" s="104">
        <v>-1.3558509999999999</v>
      </c>
      <c r="N21" s="4">
        <f>'R'!E19</f>
        <v>4.552924285145912E-3</v>
      </c>
      <c r="O21" s="66">
        <f>N21*Table225[[#This Row],[2020]]</f>
        <v>-0.14008642322129775</v>
      </c>
      <c r="P21" s="3">
        <f>N21*Table225[[#This Row],[2019]]</f>
        <v>9.2855570447508182E-2</v>
      </c>
      <c r="Q21" s="4">
        <f>N21*Table225[[#This Row],[2018]]</f>
        <v>-3.9461000646958094E-2</v>
      </c>
      <c r="R21" s="4">
        <f>N21*Table225[[#This Row],[2017]]</f>
        <v>7.3813602034285331E-2</v>
      </c>
      <c r="S21" s="47">
        <f>N21*Table225[[#This Row],[2016]]</f>
        <v>-6.1730869449393693E-3</v>
      </c>
      <c r="V21" s="4">
        <f t="shared" si="1"/>
        <v>3.6363636363636364E-3</v>
      </c>
      <c r="W21" s="66">
        <f>V21*Table225[[#This Row],[2020]]</f>
        <v>-0.11188527272727274</v>
      </c>
      <c r="X21" s="3">
        <f>V21*Table225[[#This Row],[2019]]</f>
        <v>7.4162581818181819E-2</v>
      </c>
      <c r="Y21" s="4">
        <f>V21*Table225[[#This Row],[2018]]</f>
        <v>-3.1517007272727278E-2</v>
      </c>
      <c r="Z21" s="4">
        <f>V21*Table225[[#This Row],[2017]]</f>
        <v>5.8953999999999999E-2</v>
      </c>
      <c r="AA21" s="47">
        <f>V21*Table225[[#This Row],[2016]]</f>
        <v>-4.9303672727272728E-3</v>
      </c>
    </row>
    <row r="22" spans="1:27" x14ac:dyDescent="0.35">
      <c r="A22" s="83" t="s">
        <v>376</v>
      </c>
      <c r="B22" s="84" t="s">
        <v>872</v>
      </c>
      <c r="C22" s="84" t="str">
        <f>Table225[[#This Row],[Ticker]]&amp; ( "US EQUITY")</f>
        <v>ORCLUS EQUITY</v>
      </c>
      <c r="D22" s="85">
        <v>0.24428063250177862</v>
      </c>
      <c r="E22" s="85">
        <v>0.75571936749822133</v>
      </c>
      <c r="F22" s="86">
        <f>_xlfn.XLOOKUP(Table225[[#This Row],[Ticker]],'R'!B:B,'R'!D:D,"not found")</f>
        <v>153470000000</v>
      </c>
      <c r="G22" s="87">
        <v>24.215730000000001</v>
      </c>
      <c r="H22" s="88">
        <v>19.334340000000001</v>
      </c>
      <c r="I22" s="97">
        <v>-2.9726149999999998</v>
      </c>
      <c r="J22" s="97">
        <v>24.93385</v>
      </c>
      <c r="K22" s="104">
        <v>6.8918939999999997</v>
      </c>
      <c r="N22" s="4">
        <f>'R'!E20</f>
        <v>1.7698512918980322E-2</v>
      </c>
      <c r="O22" s="66">
        <f>N22*Table225[[#This Row],[2020]]</f>
        <v>0.42858241024753935</v>
      </c>
      <c r="P22" s="3">
        <f>N22*Table225[[#This Row],[2019]]</f>
        <v>0.34218906626995804</v>
      </c>
      <c r="Q22" s="4">
        <f>N22*Table225[[#This Row],[2018]]</f>
        <v>-5.2610864980654683E-2</v>
      </c>
      <c r="R22" s="4">
        <f>N22*Table225[[#This Row],[2017]]</f>
        <v>0.44129206634491752</v>
      </c>
      <c r="S22" s="47">
        <f>N22*Table225[[#This Row],[2016]]</f>
        <v>0.12197627499524297</v>
      </c>
      <c r="V22" s="4">
        <f t="shared" si="1"/>
        <v>3.6363636363636364E-3</v>
      </c>
      <c r="W22" s="66">
        <f>V22*Table225[[#This Row],[2020]]</f>
        <v>8.8057200000000002E-2</v>
      </c>
      <c r="X22" s="3">
        <f>V22*Table225[[#This Row],[2019]]</f>
        <v>7.0306690909090919E-2</v>
      </c>
      <c r="Y22" s="4">
        <f>V22*Table225[[#This Row],[2018]]</f>
        <v>-1.0809509090909089E-2</v>
      </c>
      <c r="Z22" s="4">
        <f>V22*Table225[[#This Row],[2017]]</f>
        <v>9.066854545454546E-2</v>
      </c>
      <c r="AA22" s="47">
        <f>V22*Table225[[#This Row],[2016]]</f>
        <v>2.5061432727272726E-2</v>
      </c>
    </row>
    <row r="23" spans="1:27" x14ac:dyDescent="0.35">
      <c r="A23" s="83" t="s">
        <v>489</v>
      </c>
      <c r="B23" s="84" t="s">
        <v>973</v>
      </c>
      <c r="C23" s="84" t="str">
        <f>Table225[[#This Row],[Ticker]]&amp; ( "US EQUITY")</f>
        <v>WMTUS EQUITY</v>
      </c>
      <c r="D23" s="85">
        <v>0.445536231884058</v>
      </c>
      <c r="E23" s="85">
        <v>0.554463768115942</v>
      </c>
      <c r="F23" s="86">
        <f>_xlfn.XLOOKUP(Table225[[#This Row],[Ticker]],'R'!B:B,'R'!D:D,"not found")</f>
        <v>196280000000</v>
      </c>
      <c r="G23" s="87">
        <v>23.338249999999999</v>
      </c>
      <c r="H23" s="88">
        <v>30.159089999999999</v>
      </c>
      <c r="I23" s="97">
        <v>-3.4314749999999998</v>
      </c>
      <c r="J23" s="97">
        <v>46.54175</v>
      </c>
      <c r="K23" s="104">
        <v>16.036860000000001</v>
      </c>
      <c r="N23" s="4">
        <f>'R'!E21</f>
        <v>2.2635460453101306E-2</v>
      </c>
      <c r="O23" s="66">
        <f>N23*Table225[[#This Row],[2020]]</f>
        <v>0.52827203491959152</v>
      </c>
      <c r="P23" s="3">
        <f>N23*Table225[[#This Row],[2019]]</f>
        <v>0.682664888996523</v>
      </c>
      <c r="Q23" s="4">
        <f>N23*Table225[[#This Row],[2018]]</f>
        <v>-7.7673016658305796E-2</v>
      </c>
      <c r="R23" s="4">
        <f>N23*Table225[[#This Row],[2017]]</f>
        <v>1.0534939415431277</v>
      </c>
      <c r="S23" s="47">
        <f>N23*Table225[[#This Row],[2016]]</f>
        <v>0.36300171032192224</v>
      </c>
      <c r="V23" s="4">
        <f t="shared" si="1"/>
        <v>3.6363636363636364E-3</v>
      </c>
      <c r="W23" s="66">
        <f>V23*Table225[[#This Row],[2020]]</f>
        <v>8.4866363636363629E-2</v>
      </c>
      <c r="X23" s="3">
        <f>V23*Table225[[#This Row],[2019]]</f>
        <v>0.10966941818181818</v>
      </c>
      <c r="Y23" s="4">
        <f>V23*Table225[[#This Row],[2018]]</f>
        <v>-1.2478090909090909E-2</v>
      </c>
      <c r="Z23" s="4">
        <f>V23*Table225[[#This Row],[2017]]</f>
        <v>0.16924272727272727</v>
      </c>
      <c r="AA23" s="47">
        <f>V23*Table225[[#This Row],[2016]]</f>
        <v>5.831585454545455E-2</v>
      </c>
    </row>
    <row r="24" spans="1:27" x14ac:dyDescent="0.35">
      <c r="A24" s="83" t="s">
        <v>171</v>
      </c>
      <c r="B24" s="84" t="s">
        <v>675</v>
      </c>
      <c r="C24" s="84" t="str">
        <f>Table225[[#This Row],[Ticker]]&amp; ( "US EQUITY")</f>
        <v>CSCOUS EQUITY</v>
      </c>
      <c r="D24" s="85">
        <v>0.48047002301399316</v>
      </c>
      <c r="E24" s="85">
        <v>0.51952997698600678</v>
      </c>
      <c r="F24" s="86">
        <f>_xlfn.XLOOKUP(Table225[[#This Row],[Ticker]],'R'!B:B,'R'!D:D,"not found")</f>
        <v>137840000000</v>
      </c>
      <c r="G24" s="87">
        <v>-3.5335359999999998</v>
      </c>
      <c r="H24" s="88">
        <v>13.819100000000001</v>
      </c>
      <c r="I24" s="97">
        <v>16.56804</v>
      </c>
      <c r="J24" s="97">
        <v>31.272179999999999</v>
      </c>
      <c r="K24" s="104">
        <v>15.190340000000001</v>
      </c>
      <c r="N24" s="4">
        <f>'R'!E22</f>
        <v>1.5896025417034255E-2</v>
      </c>
      <c r="O24" s="66">
        <f>N24*Table225[[#This Row],[2020]]</f>
        <v>-5.6169178068005553E-2</v>
      </c>
      <c r="P24" s="3">
        <f>N24*Table225[[#This Row],[2019]]</f>
        <v>0.2196687648405381</v>
      </c>
      <c r="Q24" s="4">
        <f>N24*Table225[[#This Row],[2018]]</f>
        <v>0.26336598495044022</v>
      </c>
      <c r="R24" s="4">
        <f>N24*Table225[[#This Row],[2017]]</f>
        <v>0.49710336812607031</v>
      </c>
      <c r="S24" s="47">
        <f>N24*Table225[[#This Row],[2016]]</f>
        <v>0.24146603073339215</v>
      </c>
      <c r="V24" s="4">
        <f t="shared" si="1"/>
        <v>3.6363636363636364E-3</v>
      </c>
      <c r="W24" s="66">
        <f>V24*Table225[[#This Row],[2020]]</f>
        <v>-1.2849221818181817E-2</v>
      </c>
      <c r="X24" s="3">
        <f>V24*Table225[[#This Row],[2019]]</f>
        <v>5.0251272727272728E-2</v>
      </c>
      <c r="Y24" s="4">
        <f>V24*Table225[[#This Row],[2018]]</f>
        <v>6.0247418181818183E-2</v>
      </c>
      <c r="Z24" s="4">
        <f>V24*Table225[[#This Row],[2017]]</f>
        <v>0.11371701818181817</v>
      </c>
      <c r="AA24" s="47">
        <f>V24*Table225[[#This Row],[2016]]</f>
        <v>5.5237600000000005E-2</v>
      </c>
    </row>
    <row r="25" spans="1:27" x14ac:dyDescent="0.35">
      <c r="A25" s="83" t="s">
        <v>109</v>
      </c>
      <c r="B25" s="84" t="s">
        <v>613</v>
      </c>
      <c r="C25" s="84" t="str">
        <f>Table225[[#This Row],[Ticker]]&amp; ( "US EQUITY")</f>
        <v>AMGNUS EQUITY</v>
      </c>
      <c r="D25" s="85">
        <v>0.40239413056022078</v>
      </c>
      <c r="E25" s="85">
        <v>0.59760586943977922</v>
      </c>
      <c r="F25" s="86">
        <f>_xlfn.XLOOKUP(Table225[[#This Row],[Ticker]],'R'!B:B,'R'!D:D,"not found")</f>
        <v>122400000000</v>
      </c>
      <c r="G25" s="87">
        <v>-1.9995689999999999</v>
      </c>
      <c r="H25" s="88">
        <v>27.62106</v>
      </c>
      <c r="I25" s="97">
        <v>15.171279999999999</v>
      </c>
      <c r="J25" s="97">
        <v>22.248709999999999</v>
      </c>
      <c r="K25" s="104">
        <v>-7.548171</v>
      </c>
      <c r="N25" s="4">
        <f>'R'!E23</f>
        <v>1.4115449151516199E-2</v>
      </c>
      <c r="O25" s="66">
        <f>N25*Table225[[#This Row],[2020]]</f>
        <v>-2.8224814544448095E-2</v>
      </c>
      <c r="P25" s="3">
        <f>N25*Table225[[#This Row],[2019]]</f>
        <v>0.38988366794097801</v>
      </c>
      <c r="Q25" s="4">
        <f>N25*Table225[[#This Row],[2018]]</f>
        <v>0.21414943140341466</v>
      </c>
      <c r="R25" s="4">
        <f>N25*Table225[[#This Row],[2017]]</f>
        <v>0.31405053469182997</v>
      </c>
      <c r="S25" s="47">
        <f>N25*Table225[[#This Row],[2016]]</f>
        <v>-0.10654582393744919</v>
      </c>
      <c r="V25" s="4">
        <f t="shared" si="1"/>
        <v>3.6363636363636364E-3</v>
      </c>
      <c r="W25" s="66">
        <f>V25*Table225[[#This Row],[2020]]</f>
        <v>-7.2711599999999996E-3</v>
      </c>
      <c r="X25" s="3">
        <f>V25*Table225[[#This Row],[2019]]</f>
        <v>0.10044021818181818</v>
      </c>
      <c r="Y25" s="4">
        <f>V25*Table225[[#This Row],[2018]]</f>
        <v>5.5168290909090908E-2</v>
      </c>
      <c r="Z25" s="4">
        <f>V25*Table225[[#This Row],[2017]]</f>
        <v>8.0904400000000001E-2</v>
      </c>
      <c r="AA25" s="47">
        <f>V25*Table225[[#This Row],[2016]]</f>
        <v>-2.7447894545454547E-2</v>
      </c>
    </row>
    <row r="26" spans="1:27" x14ac:dyDescent="0.35">
      <c r="A26" s="83" t="s">
        <v>251</v>
      </c>
      <c r="B26" s="84" t="s">
        <v>749</v>
      </c>
      <c r="C26" s="84" t="str">
        <f>Table225[[#This Row],[Ticker]]&amp; ( "US EQUITY")</f>
        <v>FUS EQUITY</v>
      </c>
      <c r="D26" s="85">
        <v>0.4741553386337039</v>
      </c>
      <c r="E26" s="85">
        <v>0.52584466136629615</v>
      </c>
      <c r="F26" s="86">
        <f>_xlfn.XLOOKUP(Table225[[#This Row],[Ticker]],'R'!B:B,'R'!D:D,"not found")</f>
        <v>56800000000</v>
      </c>
      <c r="G26" s="87">
        <v>-3.8837130000000002</v>
      </c>
      <c r="H26" s="88">
        <v>29.613109999999999</v>
      </c>
      <c r="I26" s="97">
        <v>-34.293869999999998</v>
      </c>
      <c r="J26" s="97">
        <v>8.7268709999999992</v>
      </c>
      <c r="K26" s="104">
        <v>-7.9024020000000004</v>
      </c>
      <c r="N26" s="4">
        <f>'R'!E24</f>
        <v>6.55030646900425E-3</v>
      </c>
      <c r="O26" s="66">
        <f>N26*Table225[[#This Row],[2020]]</f>
        <v>-2.5439510387655906E-2</v>
      </c>
      <c r="P26" s="3">
        <f>N26*Table225[[#This Row],[2019]]</f>
        <v>0.19397494600033444</v>
      </c>
      <c r="Q26" s="4">
        <f>N26*Table225[[#This Row],[2018]]</f>
        <v>-0.22463535850819077</v>
      </c>
      <c r="R26" s="4">
        <f>N26*Table225[[#This Row],[2017]]</f>
        <v>5.7163679565465586E-2</v>
      </c>
      <c r="S26" s="47">
        <f>N26*Table225[[#This Row],[2016]]</f>
        <v>-5.1763154941272128E-2</v>
      </c>
      <c r="V26" s="4">
        <f t="shared" si="1"/>
        <v>3.6363636363636364E-3</v>
      </c>
      <c r="W26" s="66">
        <f>V26*Table225[[#This Row],[2020]]</f>
        <v>-1.4122592727272728E-2</v>
      </c>
      <c r="X26" s="3">
        <f>V26*Table225[[#This Row],[2019]]</f>
        <v>0.10768403636363635</v>
      </c>
      <c r="Y26" s="4">
        <f>V26*Table225[[#This Row],[2018]]</f>
        <v>-0.12470498181818181</v>
      </c>
      <c r="Z26" s="4">
        <f>V26*Table225[[#This Row],[2017]]</f>
        <v>3.1734076363636357E-2</v>
      </c>
      <c r="AA26" s="47">
        <f>V26*Table225[[#This Row],[2016]]</f>
        <v>-2.8736007272727276E-2</v>
      </c>
    </row>
    <row r="27" spans="1:27" x14ac:dyDescent="0.35">
      <c r="A27" s="83" t="s">
        <v>468</v>
      </c>
      <c r="B27" s="84" t="s">
        <v>955</v>
      </c>
      <c r="C27" s="84" t="str">
        <f>Table225[[#This Row],[Ticker]]&amp; ( "US EQUITY")</f>
        <v>UNPUS EQUITY</v>
      </c>
      <c r="D27" s="85">
        <v>0.35558996512313384</v>
      </c>
      <c r="E27" s="85">
        <v>0.64441003487686621</v>
      </c>
      <c r="F27" s="86">
        <f>_xlfn.XLOOKUP(Table225[[#This Row],[Ticker]],'R'!B:B,'R'!D:D,"not found")</f>
        <v>66410000000</v>
      </c>
      <c r="G27" s="87">
        <v>17.663049999999998</v>
      </c>
      <c r="H27" s="88">
        <v>33.673099999999998</v>
      </c>
      <c r="I27" s="97">
        <v>5.2734259999999997</v>
      </c>
      <c r="J27" s="97">
        <v>32.243479999999998</v>
      </c>
      <c r="K27" s="104">
        <v>35.975810000000003</v>
      </c>
      <c r="N27" s="4">
        <f>'R'!E25</f>
        <v>7.6585537430734546E-3</v>
      </c>
      <c r="O27" s="66">
        <f>N27*Table225[[#This Row],[2020]]</f>
        <v>0.13527341769159357</v>
      </c>
      <c r="P27" s="3">
        <f>N27*Table225[[#This Row],[2019]]</f>
        <v>0.25788724604588675</v>
      </c>
      <c r="Q27" s="4">
        <f>N27*Table225[[#This Row],[2018]]</f>
        <v>4.0386816431120874E-2</v>
      </c>
      <c r="R27" s="4">
        <f>N27*Table225[[#This Row],[2017]]</f>
        <v>0.24693842444371406</v>
      </c>
      <c r="S27" s="47">
        <f>N27*Table225[[#This Row],[2016]]</f>
        <v>0.27552267433559946</v>
      </c>
      <c r="V27" s="4">
        <f t="shared" si="1"/>
        <v>3.6363636363636364E-3</v>
      </c>
      <c r="W27" s="66">
        <f>V27*Table225[[#This Row],[2020]]</f>
        <v>6.4229272727272718E-2</v>
      </c>
      <c r="X27" s="3">
        <f>V27*Table225[[#This Row],[2019]]</f>
        <v>0.12244763636363636</v>
      </c>
      <c r="Y27" s="4">
        <f>V27*Table225[[#This Row],[2018]]</f>
        <v>1.9176094545454544E-2</v>
      </c>
      <c r="Z27" s="4">
        <f>V27*Table225[[#This Row],[2017]]</f>
        <v>0.11724901818181817</v>
      </c>
      <c r="AA27" s="47">
        <f>V27*Table225[[#This Row],[2016]]</f>
        <v>0.13082112727272729</v>
      </c>
    </row>
    <row r="28" spans="1:27" x14ac:dyDescent="0.35">
      <c r="A28" s="83" t="s">
        <v>316</v>
      </c>
      <c r="B28" s="84" t="s">
        <v>813</v>
      </c>
      <c r="C28" s="84" t="str">
        <f>Table225[[#This Row],[Ticker]]&amp; ( "US EQUITY")</f>
        <v>LHXUS EQUITY</v>
      </c>
      <c r="D28" s="85">
        <v>0.49569874119906121</v>
      </c>
      <c r="E28" s="85">
        <v>0.50430125880093879</v>
      </c>
      <c r="F28" s="86">
        <f>_xlfn.XLOOKUP(Table225[[#This Row],[Ticker]],'R'!B:B,'R'!D:D,"not found")</f>
        <v>10810000000</v>
      </c>
      <c r="G28" s="87">
        <v>-2.6903389999999998</v>
      </c>
      <c r="H28" s="88">
        <v>49.2117</v>
      </c>
      <c r="I28" s="97">
        <v>-3.3713579999999999</v>
      </c>
      <c r="J28" s="97">
        <v>40.773260000000001</v>
      </c>
      <c r="K28" s="104">
        <v>20.708770000000001</v>
      </c>
      <c r="N28" s="4">
        <f>'R'!E26</f>
        <v>1.2466340304566187E-3</v>
      </c>
      <c r="O28" s="66">
        <f>N28*Table225[[#This Row],[2020]]</f>
        <v>-3.3538681508646288E-3</v>
      </c>
      <c r="P28" s="3">
        <f>N28*Table225[[#This Row],[2019]]</f>
        <v>6.1348979916621985E-2</v>
      </c>
      <c r="Q28" s="4">
        <f>N28*Table225[[#This Row],[2018]]</f>
        <v>-4.2028496116521654E-3</v>
      </c>
      <c r="R28" s="4">
        <f>N28*Table225[[#This Row],[2017]]</f>
        <v>5.0829333448655631E-2</v>
      </c>
      <c r="S28" s="47">
        <f>N28*Table225[[#This Row],[2016]]</f>
        <v>2.5816257410899112E-2</v>
      </c>
      <c r="V28" s="4">
        <f t="shared" si="1"/>
        <v>3.6363636363636364E-3</v>
      </c>
      <c r="W28" s="66">
        <f>V28*Table225[[#This Row],[2020]]</f>
        <v>-9.7830509090909082E-3</v>
      </c>
      <c r="X28" s="3">
        <f>V28*Table225[[#This Row],[2019]]</f>
        <v>0.17895163636363637</v>
      </c>
      <c r="Y28" s="4">
        <f>V28*Table225[[#This Row],[2018]]</f>
        <v>-1.2259483636363635E-2</v>
      </c>
      <c r="Z28" s="4">
        <f>V28*Table225[[#This Row],[2017]]</f>
        <v>0.14826639999999999</v>
      </c>
      <c r="AA28" s="47">
        <f>V28*Table225[[#This Row],[2016]]</f>
        <v>7.5304618181818189E-2</v>
      </c>
    </row>
    <row r="29" spans="1:27" x14ac:dyDescent="0.35">
      <c r="A29" s="83" t="s">
        <v>199</v>
      </c>
      <c r="B29" s="84" t="s">
        <v>701</v>
      </c>
      <c r="C29" s="84" t="str">
        <f>Table225[[#This Row],[Ticker]]&amp; ( "US EQUITY")</f>
        <v>DVAUS EQUITY</v>
      </c>
      <c r="D29" s="85">
        <v>0.48899946662782401</v>
      </c>
      <c r="E29" s="85">
        <v>0.51100053337217599</v>
      </c>
      <c r="F29" s="86">
        <f>_xlfn.XLOOKUP(Table225[[#This Row],[Ticker]],'R'!B:B,'R'!D:D,"not found")</f>
        <v>14620000000</v>
      </c>
      <c r="G29" s="87">
        <v>56.470750000000002</v>
      </c>
      <c r="H29" s="88">
        <v>45.802579999999999</v>
      </c>
      <c r="I29" s="97">
        <v>-28.775079999999999</v>
      </c>
      <c r="J29" s="97">
        <v>12.538930000000001</v>
      </c>
      <c r="K29" s="104">
        <v>-7.904166</v>
      </c>
      <c r="N29" s="4">
        <f>'R'!E27</f>
        <v>1.6860119819866572E-3</v>
      </c>
      <c r="O29" s="66">
        <f>N29*Table225[[#This Row],[2020]]</f>
        <v>9.521036113177303E-2</v>
      </c>
      <c r="P29" s="3">
        <f>N29*Table225[[#This Row],[2019]]</f>
        <v>7.7223698685902425E-2</v>
      </c>
      <c r="Q29" s="4">
        <f>N29*Table225[[#This Row],[2018]]</f>
        <v>-4.8515129662624619E-2</v>
      </c>
      <c r="R29" s="4">
        <f>N29*Table225[[#This Row],[2017]]</f>
        <v>2.1140786221291955E-2</v>
      </c>
      <c r="S29" s="47">
        <f>N29*Table225[[#This Row],[2016]]</f>
        <v>-1.3326518583611549E-2</v>
      </c>
      <c r="V29" s="4">
        <f t="shared" si="1"/>
        <v>3.6363636363636364E-3</v>
      </c>
      <c r="W29" s="66">
        <f>V29*Table225[[#This Row],[2020]]</f>
        <v>0.20534818181818182</v>
      </c>
      <c r="X29" s="3">
        <f>V29*Table225[[#This Row],[2019]]</f>
        <v>0.16655483636363635</v>
      </c>
      <c r="Y29" s="4">
        <f>V29*Table225[[#This Row],[2018]]</f>
        <v>-0.10463665454545454</v>
      </c>
      <c r="Z29" s="4">
        <f>V29*Table225[[#This Row],[2017]]</f>
        <v>4.5596109090909095E-2</v>
      </c>
      <c r="AA29" s="47">
        <f>V29*Table225[[#This Row],[2016]]</f>
        <v>-2.8742421818181818E-2</v>
      </c>
    </row>
    <row r="30" spans="1:27" x14ac:dyDescent="0.35">
      <c r="A30" s="83" t="s">
        <v>243</v>
      </c>
      <c r="B30" s="84" t="s">
        <v>743</v>
      </c>
      <c r="C30" s="84" t="str">
        <f>Table225[[#This Row],[Ticker]]&amp; ( "US EQUITY")</f>
        <v>FDXUS EQUITY</v>
      </c>
      <c r="D30" s="85">
        <v>0.32787004300724815</v>
      </c>
      <c r="E30" s="85">
        <v>0.6721299569927518</v>
      </c>
      <c r="F30" s="86">
        <f>_xlfn.XLOOKUP(Table225[[#This Row],[Ticker]],'R'!B:B,'R'!D:D,"not found")</f>
        <v>41060000000</v>
      </c>
      <c r="G30" s="87">
        <v>74.332130000000006</v>
      </c>
      <c r="H30" s="88">
        <v>-4.775512</v>
      </c>
      <c r="I30" s="97">
        <v>-34.662210000000002</v>
      </c>
      <c r="J30" s="97">
        <v>35.218800000000002</v>
      </c>
      <c r="K30" s="104">
        <v>26.067830000000001</v>
      </c>
      <c r="N30" s="4">
        <f>'R'!E28</f>
        <v>4.73513351438934E-3</v>
      </c>
      <c r="O30" s="66">
        <f>N30*Table225[[#This Row],[2020]]</f>
        <v>0.35197255995894533</v>
      </c>
      <c r="P30" s="3">
        <f>N30*Table225[[#This Row],[2019]]</f>
        <v>-2.2612686919568466E-2</v>
      </c>
      <c r="Q30" s="4">
        <f>N30*Table225[[#This Row],[2018]]</f>
        <v>-0.16413019225380132</v>
      </c>
      <c r="R30" s="4">
        <f>N30*Table225[[#This Row],[2017]]</f>
        <v>0.16676572021657529</v>
      </c>
      <c r="S30" s="47">
        <f>N30*Table225[[#This Row],[2016]]</f>
        <v>0.12343465548040387</v>
      </c>
      <c r="V30" s="4">
        <f t="shared" si="1"/>
        <v>3.6363636363636364E-3</v>
      </c>
      <c r="W30" s="66">
        <f>V30*Table225[[#This Row],[2020]]</f>
        <v>0.27029865454545454</v>
      </c>
      <c r="X30" s="3">
        <f>V30*Table225[[#This Row],[2019]]</f>
        <v>-1.7365498181818182E-2</v>
      </c>
      <c r="Y30" s="4">
        <f>V30*Table225[[#This Row],[2018]]</f>
        <v>-0.1260444</v>
      </c>
      <c r="Z30" s="4">
        <f>V30*Table225[[#This Row],[2017]]</f>
        <v>0.12806836363636365</v>
      </c>
      <c r="AA30" s="47">
        <f>V30*Table225[[#This Row],[2016]]</f>
        <v>9.4792109090909099E-2</v>
      </c>
    </row>
    <row r="31" spans="1:27" x14ac:dyDescent="0.35">
      <c r="A31" s="83" t="s">
        <v>194</v>
      </c>
      <c r="B31" s="84" t="s">
        <v>696</v>
      </c>
      <c r="C31" s="84" t="str">
        <f>Table225[[#This Row],[Ticker]]&amp; ( "US EQUITY")</f>
        <v>CSXUS EQUITY</v>
      </c>
      <c r="D31" s="85">
        <v>0.39309548002521516</v>
      </c>
      <c r="E31" s="85">
        <v>0.6069045199747849</v>
      </c>
      <c r="F31" s="86">
        <f>_xlfn.XLOOKUP(Table225[[#This Row],[Ticker]],'R'!B:B,'R'!D:D,"not found")</f>
        <v>25070000000</v>
      </c>
      <c r="G31" s="87">
        <v>27.112269999999999</v>
      </c>
      <c r="H31" s="88">
        <v>18.0398</v>
      </c>
      <c r="I31" s="97">
        <v>14.472899999999999</v>
      </c>
      <c r="J31" s="97">
        <v>55.429900000000004</v>
      </c>
      <c r="K31" s="104">
        <v>42.080249999999999</v>
      </c>
      <c r="N31" s="4">
        <f>'R'!E29</f>
        <v>2.8911299855270516E-3</v>
      </c>
      <c r="O31" s="66">
        <f>N31*Table225[[#This Row],[2020]]</f>
        <v>7.8385096772705512E-2</v>
      </c>
      <c r="P31" s="3">
        <f>N31*Table225[[#This Row],[2019]]</f>
        <v>5.2155406712910905E-2</v>
      </c>
      <c r="Q31" s="4">
        <f>N31*Table225[[#This Row],[2018]]</f>
        <v>4.1843035167534459E-2</v>
      </c>
      <c r="R31" s="4">
        <f>N31*Table225[[#This Row],[2017]]</f>
        <v>0.16025504598476592</v>
      </c>
      <c r="S31" s="47">
        <f>N31*Table225[[#This Row],[2016]]</f>
        <v>0.1216594725734747</v>
      </c>
      <c r="V31" s="4">
        <f t="shared" si="1"/>
        <v>3.6363636363636364E-3</v>
      </c>
      <c r="W31" s="66">
        <f>V31*Table225[[#This Row],[2020]]</f>
        <v>9.8590072727272729E-2</v>
      </c>
      <c r="X31" s="3">
        <f>V31*Table225[[#This Row],[2019]]</f>
        <v>6.5599272727272728E-2</v>
      </c>
      <c r="Y31" s="4">
        <f>V31*Table225[[#This Row],[2018]]</f>
        <v>5.2628727272727271E-2</v>
      </c>
      <c r="Z31" s="4">
        <f>V31*Table225[[#This Row],[2017]]</f>
        <v>0.20156327272727273</v>
      </c>
      <c r="AA31" s="47">
        <f>V31*Table225[[#This Row],[2016]]</f>
        <v>0.15301909090909091</v>
      </c>
    </row>
    <row r="32" spans="1:27" x14ac:dyDescent="0.35">
      <c r="A32" s="83" t="s">
        <v>66</v>
      </c>
      <c r="B32" s="84" t="s">
        <v>573</v>
      </c>
      <c r="C32" s="84" t="str">
        <f>Table225[[#This Row],[Ticker]]&amp; ( "US EQUITY")</f>
        <v>MRKUS EQUITY</v>
      </c>
      <c r="D32" s="85">
        <v>0.49690809564417848</v>
      </c>
      <c r="E32" s="85">
        <v>0.50309190435582152</v>
      </c>
      <c r="F32" s="86">
        <f>_xlfn.XLOOKUP(Table225[[#This Row],[Ticker]],'R'!B:B,'R'!D:D,"not found")</f>
        <v>146900000000</v>
      </c>
      <c r="G32" s="87">
        <v>-7.2137060000000002</v>
      </c>
      <c r="H32" s="88">
        <v>22.2621</v>
      </c>
      <c r="I32" s="97">
        <v>39.99568</v>
      </c>
      <c r="J32" s="97">
        <v>-1.474291</v>
      </c>
      <c r="K32" s="104">
        <v>15.05133</v>
      </c>
      <c r="N32" s="4">
        <f>'R'!E30</f>
        <v>1.694084542775923E-2</v>
      </c>
      <c r="O32" s="66">
        <f>N32*Table225[[#This Row],[2020]]</f>
        <v>-0.12220627830729933</v>
      </c>
      <c r="P32" s="3">
        <f>N32*Table225[[#This Row],[2019]]</f>
        <v>0.37713879499731878</v>
      </c>
      <c r="Q32" s="4">
        <f>N32*Table225[[#This Row],[2018]]</f>
        <v>0.67756063265812128</v>
      </c>
      <c r="R32" s="4">
        <f>N32*Table225[[#This Row],[2017]]</f>
        <v>-2.4975735946536584E-2</v>
      </c>
      <c r="S32" s="47">
        <f>N32*Table225[[#This Row],[2016]]</f>
        <v>0.25498225501219535</v>
      </c>
      <c r="V32" s="4">
        <f t="shared" si="1"/>
        <v>3.6363636363636364E-3</v>
      </c>
      <c r="W32" s="66">
        <f>V32*Table225[[#This Row],[2020]]</f>
        <v>-2.6231658181818183E-2</v>
      </c>
      <c r="X32" s="3">
        <f>V32*Table225[[#This Row],[2019]]</f>
        <v>8.0953090909090905E-2</v>
      </c>
      <c r="Y32" s="4">
        <f>V32*Table225[[#This Row],[2018]]</f>
        <v>0.14543883636363636</v>
      </c>
      <c r="Z32" s="4">
        <f>V32*Table225[[#This Row],[2017]]</f>
        <v>-5.3610581818181822E-3</v>
      </c>
      <c r="AA32" s="47">
        <f>V32*Table225[[#This Row],[2016]]</f>
        <v>5.4732109090909094E-2</v>
      </c>
    </row>
    <row r="33" spans="1:27" x14ac:dyDescent="0.35">
      <c r="A33" s="83" t="s">
        <v>107</v>
      </c>
      <c r="B33" s="84" t="s">
        <v>611</v>
      </c>
      <c r="C33" s="84" t="str">
        <f>Table225[[#This Row],[Ticker]]&amp; ( "US EQUITY")</f>
        <v>ABCUS EQUITY</v>
      </c>
      <c r="D33" s="85">
        <v>0.48392705988070028</v>
      </c>
      <c r="E33" s="85">
        <v>0.51607294011929972</v>
      </c>
      <c r="F33" s="86">
        <f>_xlfn.XLOOKUP(Table225[[#This Row],[Ticker]],'R'!B:B,'R'!D:D,"not found")</f>
        <v>21400000000</v>
      </c>
      <c r="G33" s="87">
        <v>17.005410000000001</v>
      </c>
      <c r="H33" s="88">
        <v>16.452010000000001</v>
      </c>
      <c r="I33" s="97">
        <v>-17.57376</v>
      </c>
      <c r="J33" s="97">
        <v>19.516829999999999</v>
      </c>
      <c r="K33" s="104">
        <v>-23.330410000000001</v>
      </c>
      <c r="N33" s="4">
        <f>'R'!E31</f>
        <v>2.4678971555755448E-3</v>
      </c>
      <c r="O33" s="66">
        <f>N33*Table225[[#This Row],[2020]]</f>
        <v>4.1967602968395926E-2</v>
      </c>
      <c r="P33" s="3">
        <f>N33*Table225[[#This Row],[2019]]</f>
        <v>4.0601868682500424E-2</v>
      </c>
      <c r="Q33" s="4">
        <f>N33*Table225[[#This Row],[2018]]</f>
        <v>-4.3370232316767288E-2</v>
      </c>
      <c r="R33" s="4">
        <f>N33*Table225[[#This Row],[2017]]</f>
        <v>4.816552924285146E-2</v>
      </c>
      <c r="S33" s="47">
        <f>N33*Table225[[#This Row],[2016]]</f>
        <v>-5.7577052477411246E-2</v>
      </c>
      <c r="V33" s="4">
        <f t="shared" si="1"/>
        <v>3.6363636363636364E-3</v>
      </c>
      <c r="W33" s="66">
        <f>V33*Table225[[#This Row],[2020]]</f>
        <v>6.1837854545454547E-2</v>
      </c>
      <c r="X33" s="3">
        <f>V33*Table225[[#This Row],[2019]]</f>
        <v>5.9825490909090916E-2</v>
      </c>
      <c r="Y33" s="4">
        <f>V33*Table225[[#This Row],[2018]]</f>
        <v>-6.3904581818181816E-2</v>
      </c>
      <c r="Z33" s="4">
        <f>V33*Table225[[#This Row],[2017]]</f>
        <v>7.0970290909090905E-2</v>
      </c>
      <c r="AA33" s="47">
        <f>V33*Table225[[#This Row],[2016]]</f>
        <v>-8.4837854545454547E-2</v>
      </c>
    </row>
    <row r="34" spans="1:27" x14ac:dyDescent="0.35">
      <c r="A34" s="83" t="s">
        <v>238</v>
      </c>
      <c r="B34" s="84" t="s">
        <v>738</v>
      </c>
      <c r="C34" s="84" t="str">
        <f>Table225[[#This Row],[Ticker]]&amp; ( "US EQUITY")</f>
        <v>XOMUS EQUITY</v>
      </c>
      <c r="D34" s="85">
        <v>0.30600744197883312</v>
      </c>
      <c r="E34" s="85">
        <v>0.69399255802116688</v>
      </c>
      <c r="F34" s="86">
        <f>_xlfn.XLOOKUP(Table225[[#This Row],[Ticker]],'R'!B:B,'R'!D:D,"not found")</f>
        <v>323960000000</v>
      </c>
      <c r="G34" s="87">
        <v>-36.213099999999997</v>
      </c>
      <c r="H34" s="88">
        <v>7.2516439999999998</v>
      </c>
      <c r="I34" s="97">
        <v>-15.101649999999999</v>
      </c>
      <c r="J34" s="97">
        <v>-3.7969409999999999</v>
      </c>
      <c r="K34" s="104">
        <v>19.902180000000001</v>
      </c>
      <c r="N34" s="4">
        <f>'R'!E32</f>
        <v>3.7359811332722127E-2</v>
      </c>
      <c r="O34" s="66">
        <f>N34*Table225[[#This Row],[2020]]</f>
        <v>-1.3529145837729997</v>
      </c>
      <c r="P34" s="3">
        <f>N34*Table225[[#This Row],[2019]]</f>
        <v>0.2709200516920664</v>
      </c>
      <c r="Q34" s="4">
        <f>N34*Table225[[#This Row],[2018]]</f>
        <v>-0.5641947948128031</v>
      </c>
      <c r="R34" s="4">
        <f>N34*Table225[[#This Row],[2017]]</f>
        <v>-0.14185299940147728</v>
      </c>
      <c r="S34" s="47">
        <f>N34*Table225[[#This Row],[2016]]</f>
        <v>0.74354168990987568</v>
      </c>
      <c r="V34" s="4">
        <f t="shared" si="1"/>
        <v>3.6363636363636364E-3</v>
      </c>
      <c r="W34" s="66">
        <f>V34*Table225[[#This Row],[2020]]</f>
        <v>-0.131684</v>
      </c>
      <c r="X34" s="3">
        <f>V34*Table225[[#This Row],[2019]]</f>
        <v>2.6369614545454546E-2</v>
      </c>
      <c r="Y34" s="4">
        <f>V34*Table225[[#This Row],[2018]]</f>
        <v>-5.4915090909090906E-2</v>
      </c>
      <c r="Z34" s="4">
        <f>V34*Table225[[#This Row],[2017]]</f>
        <v>-1.3807058181818181E-2</v>
      </c>
      <c r="AA34" s="47">
        <f>V34*Table225[[#This Row],[2016]]</f>
        <v>7.2371563636363642E-2</v>
      </c>
    </row>
    <row r="35" spans="1:27" x14ac:dyDescent="0.35">
      <c r="A35" s="83" t="s">
        <v>360</v>
      </c>
      <c r="B35" s="84" t="s">
        <v>856</v>
      </c>
      <c r="C35" s="84" t="str">
        <f>Table225[[#This Row],[Ticker]]&amp; ( "US EQUITY")</f>
        <v>NEEUS EQUITY</v>
      </c>
      <c r="D35" s="85">
        <v>0.35798092215891619</v>
      </c>
      <c r="E35" s="85">
        <v>0.64201907784108381</v>
      </c>
      <c r="F35" s="86">
        <f>_xlfn.XLOOKUP(Table225[[#This Row],[Ticker]],'R'!B:B,'R'!D:D,"not found")</f>
        <v>47890000000</v>
      </c>
      <c r="G35" s="87">
        <v>30.078720000000001</v>
      </c>
      <c r="H35" s="88">
        <v>42.691980000000001</v>
      </c>
      <c r="I35" s="97">
        <v>14.30472</v>
      </c>
      <c r="J35" s="97">
        <v>34.36374</v>
      </c>
      <c r="K35" s="104">
        <v>18.423559999999998</v>
      </c>
      <c r="N35" s="4">
        <f>'R'!E33</f>
        <v>5.522784802827703E-3</v>
      </c>
      <c r="O35" s="66">
        <f>N35*Table225[[#This Row],[2020]]</f>
        <v>0.1661182977045097</v>
      </c>
      <c r="P35" s="3">
        <f>N35*Table225[[#This Row],[2019]]</f>
        <v>0.23577861834662425</v>
      </c>
      <c r="Q35" s="4">
        <f>N35*Table225[[#This Row],[2018]]</f>
        <v>7.9001890224705495E-2</v>
      </c>
      <c r="R35" s="4">
        <f>N35*Table225[[#This Row],[2017]]</f>
        <v>0.18978354104032244</v>
      </c>
      <c r="S35" s="47">
        <f>N35*Table225[[#This Row],[2016]]</f>
        <v>0.10174935718198434</v>
      </c>
      <c r="V35" s="4">
        <f t="shared" si="1"/>
        <v>3.6363636363636364E-3</v>
      </c>
      <c r="W35" s="66">
        <f>V35*Table225[[#This Row],[2020]]</f>
        <v>0.10937716363636364</v>
      </c>
      <c r="X35" s="3">
        <f>V35*Table225[[#This Row],[2019]]</f>
        <v>0.15524356363636363</v>
      </c>
      <c r="Y35" s="4">
        <f>V35*Table225[[#This Row],[2018]]</f>
        <v>5.2017163636363634E-2</v>
      </c>
      <c r="Z35" s="4">
        <f>V35*Table225[[#This Row],[2017]]</f>
        <v>0.12495905454545454</v>
      </c>
      <c r="AA35" s="47">
        <f>V35*Table225[[#This Row],[2016]]</f>
        <v>6.6994763636363627E-2</v>
      </c>
    </row>
    <row r="36" spans="1:27" x14ac:dyDescent="0.35">
      <c r="A36" s="83" t="s">
        <v>364</v>
      </c>
      <c r="B36" s="84" t="s">
        <v>860</v>
      </c>
      <c r="C36" s="84" t="str">
        <f>Table225[[#This Row],[Ticker]]&amp; ( "US EQUITY")</f>
        <v>NSCUS EQUITY</v>
      </c>
      <c r="D36" s="85">
        <v>0.43447925180176833</v>
      </c>
      <c r="E36" s="85">
        <v>0.56552074819823162</v>
      </c>
      <c r="F36" s="86">
        <f>_xlfn.XLOOKUP(Table225[[#This Row],[Ticker]],'R'!B:B,'R'!D:D,"not found")</f>
        <v>25190000000</v>
      </c>
      <c r="G36" s="87">
        <v>24.73049</v>
      </c>
      <c r="H36" s="88">
        <v>32.391530000000003</v>
      </c>
      <c r="I36" s="97">
        <v>5.2159909999999998</v>
      </c>
      <c r="J36" s="97">
        <v>36.820210000000003</v>
      </c>
      <c r="K36" s="104">
        <v>31.444040000000001</v>
      </c>
      <c r="N36" s="4">
        <f>'R'!E34</f>
        <v>2.9049686611657931E-3</v>
      </c>
      <c r="O36" s="66">
        <f>N36*Table225[[#This Row],[2020]]</f>
        <v>7.1841298425274036E-2</v>
      </c>
      <c r="P36" s="3">
        <f>N36*Table225[[#This Row],[2019]]</f>
        <v>9.409637953721163E-2</v>
      </c>
      <c r="Q36" s="4">
        <f>N36*Table225[[#This Row],[2018]]</f>
        <v>1.5152290391922826E-2</v>
      </c>
      <c r="R36" s="4">
        <f>N36*Table225[[#This Row],[2017]]</f>
        <v>0.10696155614754335</v>
      </c>
      <c r="S36" s="47">
        <f>N36*Table225[[#This Row],[2016]]</f>
        <v>9.1343950780443647E-2</v>
      </c>
      <c r="V36" s="4">
        <f t="shared" si="1"/>
        <v>3.6363636363636364E-3</v>
      </c>
      <c r="W36" s="66">
        <f>V36*Table225[[#This Row],[2020]]</f>
        <v>8.9929054545454551E-2</v>
      </c>
      <c r="X36" s="3">
        <f>V36*Table225[[#This Row],[2019]]</f>
        <v>0.11778738181818182</v>
      </c>
      <c r="Y36" s="4">
        <f>V36*Table225[[#This Row],[2018]]</f>
        <v>1.896724E-2</v>
      </c>
      <c r="Z36" s="4">
        <f>V36*Table225[[#This Row],[2017]]</f>
        <v>0.13389167272727273</v>
      </c>
      <c r="AA36" s="47">
        <f>V36*Table225[[#This Row],[2016]]</f>
        <v>0.11434196363636365</v>
      </c>
    </row>
    <row r="37" spans="1:27" x14ac:dyDescent="0.35">
      <c r="A37" s="83" t="s">
        <v>341</v>
      </c>
      <c r="B37" s="84" t="s">
        <v>838</v>
      </c>
      <c r="C37" s="84" t="str">
        <f>Table225[[#This Row],[Ticker]]&amp; ( "US EQUITY")</f>
        <v>METUS EQUITY</v>
      </c>
      <c r="D37" s="85">
        <v>0.42830223713800386</v>
      </c>
      <c r="E37" s="85">
        <v>0.57169776286199614</v>
      </c>
      <c r="F37" s="86">
        <f>_xlfn.XLOOKUP(Table225[[#This Row],[Ticker]],'R'!B:B,'R'!D:D,"not found")</f>
        <v>52940000000</v>
      </c>
      <c r="G37" s="87">
        <v>-3.5356640000000001</v>
      </c>
      <c r="H37" s="88">
        <v>28.849609999999998</v>
      </c>
      <c r="I37" s="97">
        <v>-15.81129</v>
      </c>
      <c r="J37" s="97">
        <v>8.4946750000000009</v>
      </c>
      <c r="K37" s="104">
        <v>15.96378</v>
      </c>
      <c r="N37" s="4">
        <f>'R'!E35</f>
        <v>6.1051624026247356E-3</v>
      </c>
      <c r="O37" s="66">
        <f>N37*Table225[[#This Row],[2020]]</f>
        <v>-2.1585802921113784E-2</v>
      </c>
      <c r="P37" s="3">
        <f>N37*Table225[[#This Row],[2019]]</f>
        <v>0.17613155430238658</v>
      </c>
      <c r="Q37" s="4">
        <f>N37*Table225[[#This Row],[2018]]</f>
        <v>-9.6530493244996449E-2</v>
      </c>
      <c r="R37" s="4">
        <f>N37*Table225[[#This Row],[2017]]</f>
        <v>5.1861370432516284E-2</v>
      </c>
      <c r="S37" s="47">
        <f>N37*Table225[[#This Row],[2016]]</f>
        <v>9.7461469459772701E-2</v>
      </c>
      <c r="V37" s="4">
        <f t="shared" si="1"/>
        <v>3.6363636363636364E-3</v>
      </c>
      <c r="W37" s="66">
        <f>V37*Table225[[#This Row],[2020]]</f>
        <v>-1.2856960000000001E-2</v>
      </c>
      <c r="X37" s="3">
        <f>V37*Table225[[#This Row],[2019]]</f>
        <v>0.10490767272727272</v>
      </c>
      <c r="Y37" s="4">
        <f>V37*Table225[[#This Row],[2018]]</f>
        <v>-5.7495600000000001E-2</v>
      </c>
      <c r="Z37" s="4">
        <f>V37*Table225[[#This Row],[2017]]</f>
        <v>3.0889727272727277E-2</v>
      </c>
      <c r="AA37" s="47">
        <f>V37*Table225[[#This Row],[2016]]</f>
        <v>5.8050109090909088E-2</v>
      </c>
    </row>
    <row r="38" spans="1:27" x14ac:dyDescent="0.35">
      <c r="A38" s="83" t="s">
        <v>150</v>
      </c>
      <c r="B38" s="84" t="s">
        <v>654</v>
      </c>
      <c r="C38" s="84" t="str">
        <f>Table225[[#This Row],[Ticker]]&amp; ( "US EQUITY")</f>
        <v>COFUS EQUITY</v>
      </c>
      <c r="D38" s="85">
        <v>0.45467877293668818</v>
      </c>
      <c r="E38" s="85">
        <v>0.54532122706331188</v>
      </c>
      <c r="F38" s="86">
        <f>_xlfn.XLOOKUP(Table225[[#This Row],[Ticker]],'R'!B:B,'R'!D:D,"not found")</f>
        <v>38060000000</v>
      </c>
      <c r="G38" s="87">
        <v>-2.675033</v>
      </c>
      <c r="H38" s="88">
        <v>38.627299999999998</v>
      </c>
      <c r="I38" s="97">
        <v>-22.77674</v>
      </c>
      <c r="J38" s="97">
        <v>16.309010000000001</v>
      </c>
      <c r="K38" s="104">
        <v>23.754709999999999</v>
      </c>
      <c r="N38" s="4">
        <f>'R'!E36</f>
        <v>4.3891666234208053E-3</v>
      </c>
      <c r="O38" s="66">
        <f>N38*Table225[[#This Row],[2020]]</f>
        <v>-1.1741165560149227E-2</v>
      </c>
      <c r="P38" s="3">
        <f>N38*Table225[[#This Row],[2019]]</f>
        <v>0.16954165591286247</v>
      </c>
      <c r="Q38" s="4">
        <f>N38*Table225[[#This Row],[2018]]</f>
        <v>-9.9970906998333595E-2</v>
      </c>
      <c r="R38" s="4">
        <f>N38*Table225[[#This Row],[2017]]</f>
        <v>7.1582962353036156E-2</v>
      </c>
      <c r="S38" s="47">
        <f>N38*Table225[[#This Row],[2016]]</f>
        <v>0.10426338028104043</v>
      </c>
      <c r="V38" s="4">
        <f t="shared" si="1"/>
        <v>3.6363636363636364E-3</v>
      </c>
      <c r="W38" s="66">
        <f>V38*Table225[[#This Row],[2020]]</f>
        <v>-9.7273927272727278E-3</v>
      </c>
      <c r="X38" s="3">
        <f>V38*Table225[[#This Row],[2019]]</f>
        <v>0.14046290909090908</v>
      </c>
      <c r="Y38" s="4">
        <f>V38*Table225[[#This Row],[2018]]</f>
        <v>-8.282450909090909E-2</v>
      </c>
      <c r="Z38" s="4">
        <f>V38*Table225[[#This Row],[2017]]</f>
        <v>5.9305490909090909E-2</v>
      </c>
      <c r="AA38" s="47">
        <f>V38*Table225[[#This Row],[2016]]</f>
        <v>8.6380763636363628E-2</v>
      </c>
    </row>
    <row r="39" spans="1:27" x14ac:dyDescent="0.35">
      <c r="A39" s="83" t="s">
        <v>282</v>
      </c>
      <c r="B39" s="84" t="s">
        <v>780</v>
      </c>
      <c r="C39" s="84" t="str">
        <f>Table225[[#This Row],[Ticker]]&amp; ( "US EQUITY")</f>
        <v>HUMUS EQUITY</v>
      </c>
      <c r="D39" s="85">
        <v>0.47801670865308821</v>
      </c>
      <c r="E39" s="85">
        <v>0.52198329134691179</v>
      </c>
      <c r="F39" s="86">
        <f>_xlfn.XLOOKUP(Table225[[#This Row],[Ticker]],'R'!B:B,'R'!D:D,"not found")</f>
        <v>26470000000</v>
      </c>
      <c r="G39" s="87">
        <v>12.6942</v>
      </c>
      <c r="H39" s="88">
        <v>28.940439999999999</v>
      </c>
      <c r="I39" s="97">
        <v>16.272659999999998</v>
      </c>
      <c r="J39" s="97">
        <v>22.59843</v>
      </c>
      <c r="K39" s="104">
        <v>14.843310000000001</v>
      </c>
      <c r="N39" s="4">
        <f>'R'!E37</f>
        <v>3.0525812013123678E-3</v>
      </c>
      <c r="O39" s="66">
        <f>N39*Table225[[#This Row],[2020]]</f>
        <v>3.8750076285699459E-2</v>
      </c>
      <c r="P39" s="3">
        <f>N39*Table225[[#This Row],[2019]]</f>
        <v>8.8343043101708499E-2</v>
      </c>
      <c r="Q39" s="4">
        <f>N39*Table225[[#This Row],[2018]]</f>
        <v>4.9673616011347711E-2</v>
      </c>
      <c r="R39" s="4">
        <f>N39*Table225[[#This Row],[2017]]</f>
        <v>6.8983542597173458E-2</v>
      </c>
      <c r="S39" s="47">
        <f>N39*Table225[[#This Row],[2016]]</f>
        <v>4.5310409071251882E-2</v>
      </c>
      <c r="V39" s="4">
        <f t="shared" si="1"/>
        <v>3.6363636363636364E-3</v>
      </c>
      <c r="W39" s="66">
        <f>V39*Table225[[#This Row],[2020]]</f>
        <v>4.6160727272727277E-2</v>
      </c>
      <c r="X39" s="3">
        <f>V39*Table225[[#This Row],[2019]]</f>
        <v>0.10523796363636363</v>
      </c>
      <c r="Y39" s="4">
        <f>V39*Table225[[#This Row],[2018]]</f>
        <v>5.9173309090909086E-2</v>
      </c>
      <c r="Z39" s="4">
        <f>V39*Table225[[#This Row],[2017]]</f>
        <v>8.2176109090909097E-2</v>
      </c>
      <c r="AA39" s="47">
        <f>V39*Table225[[#This Row],[2016]]</f>
        <v>5.397567272727273E-2</v>
      </c>
    </row>
    <row r="40" spans="1:27" x14ac:dyDescent="0.35">
      <c r="A40" s="83" t="s">
        <v>77</v>
      </c>
      <c r="B40" s="84" t="s">
        <v>582</v>
      </c>
      <c r="C40" s="84" t="str">
        <f>Table225[[#This Row],[Ticker]]&amp; ( "US EQUITY")</f>
        <v>ABBVUS EQUITY</v>
      </c>
      <c r="D40" s="85">
        <v>0.4824307214759786</v>
      </c>
      <c r="E40" s="85">
        <v>0.51756927852402135</v>
      </c>
      <c r="F40" s="86">
        <f>_xlfn.XLOOKUP(Table225[[#This Row],[Ticker]],'R'!B:B,'R'!D:D,"not found")</f>
        <v>95370000000</v>
      </c>
      <c r="G40" s="87">
        <v>27.610389999999999</v>
      </c>
      <c r="H40" s="88">
        <v>1.4954810000000001</v>
      </c>
      <c r="I40" s="97">
        <v>-0.98021630000000004</v>
      </c>
      <c r="J40" s="97">
        <v>60.128860000000003</v>
      </c>
      <c r="K40" s="104">
        <v>9.877872</v>
      </c>
      <c r="N40" s="4">
        <f>'R'!E38</f>
        <v>1.0998287463889705E-2</v>
      </c>
      <c r="O40" s="66">
        <f>N40*Table225[[#This Row],[2020]]</f>
        <v>0.30366700621010567</v>
      </c>
      <c r="P40" s="3">
        <f>N40*Table225[[#This Row],[2019]]</f>
        <v>1.644772993478524E-2</v>
      </c>
      <c r="Q40" s="4">
        <f>N40*Table225[[#This Row],[2018]]</f>
        <v>-1.0780700644190351E-2</v>
      </c>
      <c r="R40" s="4">
        <f>N40*Table225[[#This Row],[2017]]</f>
        <v>0.66131448715597918</v>
      </c>
      <c r="S40" s="47">
        <f>N40*Table225[[#This Row],[2016]]</f>
        <v>0.10863967578750713</v>
      </c>
      <c r="V40" s="4">
        <f t="shared" si="1"/>
        <v>3.6363636363636364E-3</v>
      </c>
      <c r="W40" s="66">
        <f>V40*Table225[[#This Row],[2020]]</f>
        <v>0.10040141818181818</v>
      </c>
      <c r="X40" s="3">
        <f>V40*Table225[[#This Row],[2019]]</f>
        <v>5.4381127272727274E-3</v>
      </c>
      <c r="Y40" s="4">
        <f>V40*Table225[[#This Row],[2018]]</f>
        <v>-3.5644229090909091E-3</v>
      </c>
      <c r="Z40" s="4">
        <f>V40*Table225[[#This Row],[2017]]</f>
        <v>0.21865040000000002</v>
      </c>
      <c r="AA40" s="47">
        <f>V40*Table225[[#This Row],[2016]]</f>
        <v>3.5919534545454546E-2</v>
      </c>
    </row>
    <row r="41" spans="1:27" x14ac:dyDescent="0.35">
      <c r="A41" s="83" t="s">
        <v>339</v>
      </c>
      <c r="B41" s="84" t="s">
        <v>836</v>
      </c>
      <c r="C41" s="84" t="str">
        <f>Table225[[#This Row],[Ticker]]&amp; ( "US EQUITY")</f>
        <v>MCKUS EQUITY</v>
      </c>
      <c r="D41" s="85">
        <v>0.44508053225939276</v>
      </c>
      <c r="E41" s="85">
        <v>0.55491946774060719</v>
      </c>
      <c r="F41" s="86">
        <f>_xlfn.XLOOKUP(Table225[[#This Row],[Ticker]],'R'!B:B,'R'!D:D,"not found")</f>
        <v>45080000000</v>
      </c>
      <c r="G41" s="87">
        <v>27.073920000000001</v>
      </c>
      <c r="H41" s="88">
        <v>26.727329999999998</v>
      </c>
      <c r="I41" s="97">
        <v>-28.39255</v>
      </c>
      <c r="J41" s="97">
        <v>11.94426</v>
      </c>
      <c r="K41" s="104">
        <v>-28.304040000000001</v>
      </c>
      <c r="N41" s="4">
        <f>'R'!E39</f>
        <v>5.198729148287176E-3</v>
      </c>
      <c r="O41" s="66">
        <f>N41*Table225[[#This Row],[2020]]</f>
        <v>0.14074997706239514</v>
      </c>
      <c r="P41" s="3">
        <f>N41*Table225[[#This Row],[2019]]</f>
        <v>0.13894814952689027</v>
      </c>
      <c r="Q41" s="4">
        <f>N41*Table225[[#This Row],[2018]]</f>
        <v>-0.14760517727920106</v>
      </c>
      <c r="R41" s="4">
        <f>N41*Table225[[#This Row],[2017]]</f>
        <v>6.2094972616720583E-2</v>
      </c>
      <c r="S41" s="47">
        <f>N41*Table225[[#This Row],[2016]]</f>
        <v>-0.14714503776228616</v>
      </c>
      <c r="V41" s="4">
        <f t="shared" si="1"/>
        <v>3.6363636363636364E-3</v>
      </c>
      <c r="W41" s="66">
        <f>V41*Table225[[#This Row],[2020]]</f>
        <v>9.8450618181818189E-2</v>
      </c>
      <c r="X41" s="3">
        <f>V41*Table225[[#This Row],[2019]]</f>
        <v>9.7190290909090898E-2</v>
      </c>
      <c r="Y41" s="4">
        <f>V41*Table225[[#This Row],[2018]]</f>
        <v>-0.10324563636363636</v>
      </c>
      <c r="Z41" s="4">
        <f>V41*Table225[[#This Row],[2017]]</f>
        <v>4.3433672727272728E-2</v>
      </c>
      <c r="AA41" s="47">
        <f>V41*Table225[[#This Row],[2016]]</f>
        <v>-0.10292378181818182</v>
      </c>
    </row>
    <row r="42" spans="1:27" x14ac:dyDescent="0.35">
      <c r="A42" s="83" t="s">
        <v>168</v>
      </c>
      <c r="B42" s="84" t="s">
        <v>672</v>
      </c>
      <c r="C42" s="84" t="str">
        <f>Table225[[#This Row],[Ticker]]&amp; ( "US EQUITY")</f>
        <v>CIUS EQUITY</v>
      </c>
      <c r="D42" s="85">
        <v>0.44143198942304746</v>
      </c>
      <c r="E42" s="85">
        <v>0.55856801057695249</v>
      </c>
      <c r="F42" s="86">
        <f>_xlfn.XLOOKUP(Table225[[#This Row],[Ticker]],'R'!B:B,'R'!D:D,"not found")</f>
        <v>37540000000</v>
      </c>
      <c r="G42" s="87">
        <v>1.8269059999999999</v>
      </c>
      <c r="H42" s="88">
        <v>7.6980469999999999</v>
      </c>
      <c r="I42" s="97">
        <v>-6.4632300000000003</v>
      </c>
      <c r="J42" s="97">
        <v>52.292789999999997</v>
      </c>
      <c r="K42" s="104">
        <v>-8.8169939999999993</v>
      </c>
      <c r="N42" s="4">
        <f>'R'!E40</f>
        <v>4.3291990289862593E-3</v>
      </c>
      <c r="O42" s="66">
        <f>N42*Table225[[#This Row],[2020]]</f>
        <v>7.9090396812491713E-3</v>
      </c>
      <c r="P42" s="3">
        <f>N42*Table225[[#This Row],[2019]]</f>
        <v>3.3326377597490589E-2</v>
      </c>
      <c r="Q42" s="4">
        <f>N42*Table225[[#This Row],[2018]]</f>
        <v>-2.7980609040114863E-2</v>
      </c>
      <c r="R42" s="4">
        <f>N42*Table225[[#This Row],[2017]]</f>
        <v>0.22638589569098236</v>
      </c>
      <c r="S42" s="47">
        <f>N42*Table225[[#This Row],[2016]]</f>
        <v>-3.8170521863377674E-2</v>
      </c>
      <c r="V42" s="4">
        <f t="shared" si="1"/>
        <v>3.6363636363636364E-3</v>
      </c>
      <c r="W42" s="66">
        <f>V42*Table225[[#This Row],[2020]]</f>
        <v>6.6432945454545454E-3</v>
      </c>
      <c r="X42" s="3">
        <f>V42*Table225[[#This Row],[2019]]</f>
        <v>2.7992898181818181E-2</v>
      </c>
      <c r="Y42" s="4">
        <f>V42*Table225[[#This Row],[2018]]</f>
        <v>-2.3502654545454547E-2</v>
      </c>
      <c r="Z42" s="4">
        <f>V42*Table225[[#This Row],[2017]]</f>
        <v>0.19015559999999998</v>
      </c>
      <c r="AA42" s="47">
        <f>V42*Table225[[#This Row],[2016]]</f>
        <v>-3.2061796363636361E-2</v>
      </c>
    </row>
    <row r="43" spans="1:27" x14ac:dyDescent="0.35">
      <c r="A43" s="83" t="s">
        <v>98</v>
      </c>
      <c r="B43" s="84" t="s">
        <v>602</v>
      </c>
      <c r="C43" s="84" t="str">
        <f>Table225[[#This Row],[Ticker]]&amp; ( "US EQUITY")</f>
        <v>MOUS EQUITY</v>
      </c>
      <c r="D43" s="85">
        <v>0.23078137856393707</v>
      </c>
      <c r="E43" s="85">
        <v>0.7692186214360629</v>
      </c>
      <c r="F43" s="86">
        <f>_xlfn.XLOOKUP(Table225[[#This Row],[Ticker]],'R'!B:B,'R'!D:D,"not found")</f>
        <v>114100000000</v>
      </c>
      <c r="G43" s="87">
        <v>-10.38001</v>
      </c>
      <c r="H43" s="88">
        <v>7.955158</v>
      </c>
      <c r="I43" s="97">
        <v>-27.086590000000001</v>
      </c>
      <c r="J43" s="97">
        <v>9.4461440000000003</v>
      </c>
      <c r="K43" s="104">
        <v>20.461929999999999</v>
      </c>
      <c r="N43" s="4">
        <f>'R'!E41</f>
        <v>1.3158274086503255E-2</v>
      </c>
      <c r="O43" s="66">
        <f>N43*Table225[[#This Row],[2020]]</f>
        <v>-0.13658301660064465</v>
      </c>
      <c r="P43" s="3">
        <f>N43*Table225[[#This Row],[2019]]</f>
        <v>0.10467614936543906</v>
      </c>
      <c r="Q43" s="4">
        <f>N43*Table225[[#This Row],[2018]]</f>
        <v>-0.35641277528873822</v>
      </c>
      <c r="R43" s="4">
        <f>N43*Table225[[#This Row],[2017]]</f>
        <v>0.12429495181257821</v>
      </c>
      <c r="S43" s="47">
        <f>N43*Table225[[#This Row],[2016]]</f>
        <v>0.26924368327884352</v>
      </c>
      <c r="V43" s="4">
        <f t="shared" si="1"/>
        <v>3.6363636363636364E-3</v>
      </c>
      <c r="W43" s="66">
        <f>V43*Table225[[#This Row],[2020]]</f>
        <v>-3.7745490909090913E-2</v>
      </c>
      <c r="X43" s="3">
        <f>V43*Table225[[#This Row],[2019]]</f>
        <v>2.8927847272727271E-2</v>
      </c>
      <c r="Y43" s="4">
        <f>V43*Table225[[#This Row],[2018]]</f>
        <v>-9.8496690909090912E-2</v>
      </c>
      <c r="Z43" s="4">
        <f>V43*Table225[[#This Row],[2017]]</f>
        <v>3.4349614545454543E-2</v>
      </c>
      <c r="AA43" s="47">
        <f>V43*Table225[[#This Row],[2016]]</f>
        <v>7.4407018181818177E-2</v>
      </c>
    </row>
    <row r="44" spans="1:27" x14ac:dyDescent="0.35">
      <c r="A44" s="83" t="s">
        <v>161</v>
      </c>
      <c r="B44" s="84" t="s">
        <v>665</v>
      </c>
      <c r="C44" s="84" t="str">
        <f>Table225[[#This Row],[Ticker]]&amp; ( "US EQUITY")</f>
        <v>SCHWUS EQUITY</v>
      </c>
      <c r="D44" s="85">
        <v>7.8039519871660107E-2</v>
      </c>
      <c r="E44" s="85">
        <v>0.92196048012833987</v>
      </c>
      <c r="F44" s="86">
        <f>_xlfn.XLOOKUP(Table225[[#This Row],[Ticker]],'R'!B:B,'R'!D:D,"not found")</f>
        <v>43480000000</v>
      </c>
      <c r="G44" s="87">
        <v>13.586220000000001</v>
      </c>
      <c r="H44" s="88">
        <v>16.36045</v>
      </c>
      <c r="I44" s="97">
        <v>-18.427070000000001</v>
      </c>
      <c r="J44" s="97">
        <v>31.160150000000002</v>
      </c>
      <c r="K44" s="104">
        <v>21.015920000000001</v>
      </c>
      <c r="N44" s="4">
        <f>'R'!E42</f>
        <v>5.0142134731039571E-3</v>
      </c>
      <c r="O44" s="66">
        <f>N44*Table225[[#This Row],[2020]]</f>
        <v>6.8124207372554452E-2</v>
      </c>
      <c r="P44" s="3">
        <f>N44*Table225[[#This Row],[2019]]</f>
        <v>8.2034788816043633E-2</v>
      </c>
      <c r="Q44" s="4">
        <f>N44*Table225[[#This Row],[2018]]</f>
        <v>-9.2397262663829735E-2</v>
      </c>
      <c r="R44" s="4">
        <f>N44*Table225[[#This Row],[2017]]</f>
        <v>0.15624364395394028</v>
      </c>
      <c r="S44" s="47">
        <f>N44*Table225[[#This Row],[2016]]</f>
        <v>0.10537830921367491</v>
      </c>
      <c r="V44" s="4">
        <f t="shared" si="1"/>
        <v>3.6363636363636364E-3</v>
      </c>
      <c r="W44" s="66">
        <f>V44*Table225[[#This Row],[2020]]</f>
        <v>4.9404436363636367E-2</v>
      </c>
      <c r="X44" s="3">
        <f>V44*Table225[[#This Row],[2019]]</f>
        <v>5.9492545454545458E-2</v>
      </c>
      <c r="Y44" s="4">
        <f>V44*Table225[[#This Row],[2018]]</f>
        <v>-6.7007527272727269E-2</v>
      </c>
      <c r="Z44" s="4">
        <f>V44*Table225[[#This Row],[2017]]</f>
        <v>0.11330963636363636</v>
      </c>
      <c r="AA44" s="47">
        <f>V44*Table225[[#This Row],[2016]]</f>
        <v>7.6421527272727274E-2</v>
      </c>
    </row>
    <row r="45" spans="1:27" x14ac:dyDescent="0.35">
      <c r="A45" s="83" t="s">
        <v>178</v>
      </c>
      <c r="B45" s="84" t="s">
        <v>682</v>
      </c>
      <c r="C45" s="84" t="str">
        <f>Table225[[#This Row],[Ticker]]&amp; ( "US EQUITY")</f>
        <v>KOUS EQUITY</v>
      </c>
      <c r="D45" s="85">
        <v>0.47101603572424672</v>
      </c>
      <c r="E45" s="85">
        <v>0.52898396427575323</v>
      </c>
      <c r="F45" s="86">
        <f>_xlfn.XLOOKUP(Table225[[#This Row],[Ticker]],'R'!B:B,'R'!D:D,"not found")</f>
        <v>185760000000</v>
      </c>
      <c r="G45" s="87">
        <v>2.4376869999999999</v>
      </c>
      <c r="H45" s="88">
        <v>20.613980000000002</v>
      </c>
      <c r="I45" s="97">
        <v>6.7927600000000004</v>
      </c>
      <c r="J45" s="97">
        <v>14.37265</v>
      </c>
      <c r="K45" s="104">
        <v>-0.3380358</v>
      </c>
      <c r="N45" s="4">
        <f>'R'!E43</f>
        <v>2.1422269888771644E-2</v>
      </c>
      <c r="O45" s="66">
        <f>N45*Table225[[#This Row],[2020]]</f>
        <v>5.2220788818350079E-2</v>
      </c>
      <c r="P45" s="3">
        <f>N45*Table225[[#This Row],[2019]]</f>
        <v>0.44159824304174095</v>
      </c>
      <c r="Q45" s="4">
        <f>N45*Table225[[#This Row],[2018]]</f>
        <v>0.14551633800965247</v>
      </c>
      <c r="R45" s="4">
        <f>N45*Table225[[#This Row],[2017]]</f>
        <v>0.30789478731685377</v>
      </c>
      <c r="S45" s="47">
        <f>N45*Table225[[#This Row],[2016]]</f>
        <v>-7.2414941396668339E-3</v>
      </c>
      <c r="V45" s="4">
        <f t="shared" si="1"/>
        <v>3.6363636363636364E-3</v>
      </c>
      <c r="W45" s="66">
        <f>V45*Table225[[#This Row],[2020]]</f>
        <v>8.8643163636363629E-3</v>
      </c>
      <c r="X45" s="3">
        <f>V45*Table225[[#This Row],[2019]]</f>
        <v>7.4959927272727281E-2</v>
      </c>
      <c r="Y45" s="4">
        <f>V45*Table225[[#This Row],[2018]]</f>
        <v>2.4700945454545455E-2</v>
      </c>
      <c r="Z45" s="4">
        <f>V45*Table225[[#This Row],[2017]]</f>
        <v>5.2264181818181821E-2</v>
      </c>
      <c r="AA45" s="47">
        <f>V45*Table225[[#This Row],[2016]]</f>
        <v>-1.229221090909091E-3</v>
      </c>
    </row>
    <row r="46" spans="1:27" x14ac:dyDescent="0.35">
      <c r="A46" s="83" t="s">
        <v>222</v>
      </c>
      <c r="B46" s="84" t="s">
        <v>723</v>
      </c>
      <c r="C46" s="84" t="str">
        <f>Table225[[#This Row],[Ticker]]&amp; ( "US EQUITY")</f>
        <v>LLYUS EQUITY</v>
      </c>
      <c r="D46" s="85">
        <v>0.37122136460746474</v>
      </c>
      <c r="E46" s="85">
        <v>0.62877863539253531</v>
      </c>
      <c r="F46" s="86">
        <f>_xlfn.XLOOKUP(Table225[[#This Row],[Ticker]],'R'!B:B,'R'!D:D,"not found")</f>
        <v>93130000000</v>
      </c>
      <c r="G46" s="87">
        <v>31.059750000000001</v>
      </c>
      <c r="H46" s="88">
        <v>16.153639999999999</v>
      </c>
      <c r="I46" s="97">
        <v>40.447249999999997</v>
      </c>
      <c r="J46" s="97">
        <v>17.834330000000001</v>
      </c>
      <c r="K46" s="104">
        <v>-10.374079999999999</v>
      </c>
      <c r="N46" s="4">
        <f>'R'!E44</f>
        <v>1.07399655186332E-2</v>
      </c>
      <c r="O46" s="66">
        <f>N46*Table225[[#This Row],[2020]]</f>
        <v>0.33358064401736753</v>
      </c>
      <c r="P46" s="3">
        <f>N46*Table225[[#This Row],[2019]]</f>
        <v>0.173489536600414</v>
      </c>
      <c r="Q46" s="4">
        <f>N46*Table225[[#This Row],[2018]]</f>
        <v>0.43440207032353667</v>
      </c>
      <c r="R46" s="4">
        <f>N46*Table225[[#This Row],[2017]]</f>
        <v>0.19154008924792565</v>
      </c>
      <c r="S46" s="47">
        <f>N46*Table225[[#This Row],[2016]]</f>
        <v>-0.1114172614875423</v>
      </c>
      <c r="V46" s="4">
        <f t="shared" si="1"/>
        <v>3.6363636363636364E-3</v>
      </c>
      <c r="W46" s="66">
        <f>V46*Table225[[#This Row],[2020]]</f>
        <v>0.11294454545454546</v>
      </c>
      <c r="X46" s="3">
        <f>V46*Table225[[#This Row],[2019]]</f>
        <v>5.8740509090909089E-2</v>
      </c>
      <c r="Y46" s="4">
        <f>V46*Table225[[#This Row],[2018]]</f>
        <v>0.14708090909090907</v>
      </c>
      <c r="Z46" s="4">
        <f>V46*Table225[[#This Row],[2017]]</f>
        <v>6.4852109090909091E-2</v>
      </c>
      <c r="AA46" s="47">
        <f>V46*Table225[[#This Row],[2016]]</f>
        <v>-3.7723927272727269E-2</v>
      </c>
    </row>
    <row r="47" spans="1:27" x14ac:dyDescent="0.35">
      <c r="A47" s="83" t="s">
        <v>283</v>
      </c>
      <c r="B47" s="84" t="s">
        <v>781</v>
      </c>
      <c r="C47" s="84" t="str">
        <f>Table225[[#This Row],[Ticker]]&amp; ( "US EQUITY")</f>
        <v>HIIUS EQUITY</v>
      </c>
      <c r="D47" s="85">
        <v>0.4477251974780781</v>
      </c>
      <c r="E47" s="85">
        <v>0.55227480252192185</v>
      </c>
      <c r="F47" s="86">
        <f>_xlfn.XLOOKUP(Table225[[#This Row],[Ticker]],'R'!B:B,'R'!D:D,"not found")</f>
        <v>5950000000</v>
      </c>
      <c r="G47" s="87">
        <v>-30.435099999999998</v>
      </c>
      <c r="H47" s="88">
        <v>34.00217</v>
      </c>
      <c r="I47" s="97">
        <v>-18.211349999999999</v>
      </c>
      <c r="J47" s="97">
        <v>29.480239999999998</v>
      </c>
      <c r="K47" s="104">
        <v>47.16592</v>
      </c>
      <c r="N47" s="4">
        <f>'R'!E45</f>
        <v>6.8616766708759307E-4</v>
      </c>
      <c r="O47" s="66">
        <f>N47*Table225[[#This Row],[2020]]</f>
        <v>-2.0883581564577602E-2</v>
      </c>
      <c r="P47" s="3">
        <f>N47*Table225[[#This Row],[2019]]</f>
        <v>2.3331189664815743E-2</v>
      </c>
      <c r="Q47" s="4">
        <f>N47*Table225[[#This Row],[2018]]</f>
        <v>-1.2496039544015639E-2</v>
      </c>
      <c r="R47" s="4">
        <f>N47*Table225[[#This Row],[2017]]</f>
        <v>2.0228387505982343E-2</v>
      </c>
      <c r="S47" s="47">
        <f>N47*Table225[[#This Row],[2016]]</f>
        <v>3.2363729292440045E-2</v>
      </c>
      <c r="V47" s="4">
        <f t="shared" si="1"/>
        <v>3.6363636363636364E-3</v>
      </c>
      <c r="W47" s="66">
        <f>V47*Table225[[#This Row],[2020]]</f>
        <v>-0.1106730909090909</v>
      </c>
      <c r="X47" s="3">
        <f>V47*Table225[[#This Row],[2019]]</f>
        <v>0.12364425454545454</v>
      </c>
      <c r="Y47" s="4">
        <f>V47*Table225[[#This Row],[2018]]</f>
        <v>-6.6223090909090912E-2</v>
      </c>
      <c r="Z47" s="4">
        <f>V47*Table225[[#This Row],[2017]]</f>
        <v>0.10720087272727272</v>
      </c>
      <c r="AA47" s="47">
        <f>V47*Table225[[#This Row],[2016]]</f>
        <v>0.17151243636363636</v>
      </c>
    </row>
    <row r="48" spans="1:27" x14ac:dyDescent="0.35">
      <c r="A48" s="83" t="s">
        <v>176</v>
      </c>
      <c r="B48" s="84" t="s">
        <v>680</v>
      </c>
      <c r="C48" s="84" t="str">
        <f>Table225[[#This Row],[Ticker]]&amp; ( "US EQUITY")</f>
        <v>CMEUS EQUITY</v>
      </c>
      <c r="D48" s="85">
        <v>0.45598067155678407</v>
      </c>
      <c r="E48" s="85">
        <v>0.54401932844321599</v>
      </c>
      <c r="F48" s="86">
        <f>_xlfn.XLOOKUP(Table225[[#This Row],[Ticker]],'R'!B:B,'R'!D:D,"not found")</f>
        <v>30530000000</v>
      </c>
      <c r="G48" s="87">
        <v>-6.3350140000000001</v>
      </c>
      <c r="H48" s="88">
        <v>9.6735360000000004</v>
      </c>
      <c r="I48" s="97">
        <v>32.121200000000002</v>
      </c>
      <c r="J48" s="97">
        <v>32.325769999999999</v>
      </c>
      <c r="K48" s="104">
        <v>33.933010000000003</v>
      </c>
      <c r="N48" s="4">
        <f>'R'!E46</f>
        <v>3.5207897270897841E-3</v>
      </c>
      <c r="O48" s="66">
        <f>N48*Table225[[#This Row],[2020]]</f>
        <v>-2.2304252212169962E-2</v>
      </c>
      <c r="P48" s="3">
        <f>N48*Table225[[#This Row],[2019]]</f>
        <v>3.4058486173433204E-2</v>
      </c>
      <c r="Q48" s="4">
        <f>N48*Table225[[#This Row],[2018]]</f>
        <v>0.11309199098179638</v>
      </c>
      <c r="R48" s="4">
        <f>N48*Table225[[#This Row],[2017]]</f>
        <v>0.11381223893626713</v>
      </c>
      <c r="S48" s="47">
        <f>N48*Table225[[#This Row],[2016]]</f>
        <v>0.11947099301723492</v>
      </c>
      <c r="V48" s="4">
        <f t="shared" si="1"/>
        <v>3.6363636363636364E-3</v>
      </c>
      <c r="W48" s="66">
        <f>V48*Table225[[#This Row],[2020]]</f>
        <v>-2.3036414545454544E-2</v>
      </c>
      <c r="X48" s="3">
        <f>V48*Table225[[#This Row],[2019]]</f>
        <v>3.5176494545454545E-2</v>
      </c>
      <c r="Y48" s="4">
        <f>V48*Table225[[#This Row],[2018]]</f>
        <v>0.11680436363636364</v>
      </c>
      <c r="Z48" s="4">
        <f>V48*Table225[[#This Row],[2017]]</f>
        <v>0.11754825454545453</v>
      </c>
      <c r="AA48" s="47">
        <f>V48*Table225[[#This Row],[2016]]</f>
        <v>0.12339276363636364</v>
      </c>
    </row>
    <row r="49" spans="1:27" x14ac:dyDescent="0.35">
      <c r="A49" s="83" t="s">
        <v>79</v>
      </c>
      <c r="B49" s="84" t="s">
        <v>584</v>
      </c>
      <c r="C49" s="84" t="str">
        <f>Table225[[#This Row],[Ticker]]&amp; ( "US EQUITY")</f>
        <v>ACNUS EQUITY</v>
      </c>
      <c r="D49" s="85">
        <v>0.4491819037510264</v>
      </c>
      <c r="E49" s="85">
        <v>0.5508180962489736</v>
      </c>
      <c r="F49" s="86">
        <f>_xlfn.XLOOKUP(Table225[[#This Row],[Ticker]],'R'!B:B,'R'!D:D,"not found")</f>
        <v>65620000000.000008</v>
      </c>
      <c r="G49" s="87">
        <v>26.054379999999998</v>
      </c>
      <c r="H49" s="88">
        <v>51.207180000000001</v>
      </c>
      <c r="I49" s="97">
        <v>-6.2113759999999996</v>
      </c>
      <c r="J49" s="97">
        <v>33.341470000000001</v>
      </c>
      <c r="K49" s="104">
        <v>14.3307</v>
      </c>
      <c r="N49" s="4">
        <f>'R'!E47</f>
        <v>7.567449128451741E-3</v>
      </c>
      <c r="O49" s="66">
        <f>N49*Table225[[#This Row],[2020]]</f>
        <v>0.19716519522335046</v>
      </c>
      <c r="P49" s="3">
        <f>N49*Table225[[#This Row],[2019]]</f>
        <v>0.38750772966147146</v>
      </c>
      <c r="Q49" s="4">
        <f>N49*Table225[[#This Row],[2018]]</f>
        <v>-4.7004271897686058E-2</v>
      </c>
      <c r="R49" s="4">
        <f>N49*Table225[[#This Row],[2017]]</f>
        <v>0.25230987809279987</v>
      </c>
      <c r="S49" s="47">
        <f>N49*Table225[[#This Row],[2016]]</f>
        <v>0.10844684322510337</v>
      </c>
      <c r="V49" s="4">
        <f t="shared" si="1"/>
        <v>3.6363636363636364E-3</v>
      </c>
      <c r="W49" s="66">
        <f>V49*Table225[[#This Row],[2020]]</f>
        <v>9.47432E-2</v>
      </c>
      <c r="X49" s="3">
        <f>V49*Table225[[#This Row],[2019]]</f>
        <v>0.18620792727272728</v>
      </c>
      <c r="Y49" s="4">
        <f>V49*Table225[[#This Row],[2018]]</f>
        <v>-2.2586821818181817E-2</v>
      </c>
      <c r="Z49" s="4">
        <f>V49*Table225[[#This Row],[2017]]</f>
        <v>0.12124170909090909</v>
      </c>
      <c r="AA49" s="47">
        <f>V49*Table225[[#This Row],[2016]]</f>
        <v>5.2111636363636367E-2</v>
      </c>
    </row>
    <row r="50" spans="1:27" x14ac:dyDescent="0.35">
      <c r="A50" s="83" t="s">
        <v>362</v>
      </c>
      <c r="B50" s="84" t="s">
        <v>858</v>
      </c>
      <c r="C50" s="84" t="str">
        <f>Table225[[#This Row],[Ticker]]&amp; ( "US EQUITY")</f>
        <v>NKEUS EQUITY</v>
      </c>
      <c r="D50" s="85">
        <v>0.4802639185986009</v>
      </c>
      <c r="E50" s="85">
        <v>0.51973608140139904</v>
      </c>
      <c r="F50" s="86">
        <f>_xlfn.XLOOKUP(Table225[[#This Row],[Ticker]],'R'!B:B,'R'!D:D,"not found")</f>
        <v>106690000000</v>
      </c>
      <c r="G50" s="87">
        <v>40.959739999999996</v>
      </c>
      <c r="H50" s="88">
        <v>38.101109999999998</v>
      </c>
      <c r="I50" s="97">
        <v>19.855810000000002</v>
      </c>
      <c r="J50" s="97">
        <v>24.702629999999999</v>
      </c>
      <c r="K50" s="104">
        <v>-17.706130000000002</v>
      </c>
      <c r="N50" s="4">
        <f>'R'!E48</f>
        <v>1.2303735865810975E-2</v>
      </c>
      <c r="O50" s="66">
        <f>N50*Table225[[#This Row],[2020]]</f>
        <v>0.50395782209229234</v>
      </c>
      <c r="P50" s="3">
        <f>N50*Table225[[#This Row],[2019]]</f>
        <v>0.46878599363420914</v>
      </c>
      <c r="Q50" s="4">
        <f>N50*Table225[[#This Row],[2018]]</f>
        <v>0.24430064164172824</v>
      </c>
      <c r="R50" s="4">
        <f>N50*Table225[[#This Row],[2017]]</f>
        <v>0.30393463471085813</v>
      </c>
      <c r="S50" s="47">
        <f>N50*Table225[[#This Row],[2016]]</f>
        <v>-0.21785154672571169</v>
      </c>
      <c r="V50" s="4">
        <f t="shared" si="1"/>
        <v>3.6363636363636364E-3</v>
      </c>
      <c r="W50" s="66">
        <f>V50*Table225[[#This Row],[2020]]</f>
        <v>0.14894450909090909</v>
      </c>
      <c r="X50" s="3">
        <f>V50*Table225[[#This Row],[2019]]</f>
        <v>0.13854949090909091</v>
      </c>
      <c r="Y50" s="4">
        <f>V50*Table225[[#This Row],[2018]]</f>
        <v>7.2202945454545461E-2</v>
      </c>
      <c r="Z50" s="4">
        <f>V50*Table225[[#This Row],[2017]]</f>
        <v>8.9827745454545457E-2</v>
      </c>
      <c r="AA50" s="47">
        <f>V50*Table225[[#This Row],[2016]]</f>
        <v>-6.4385927272727281E-2</v>
      </c>
    </row>
    <row r="51" spans="1:27" x14ac:dyDescent="0.35">
      <c r="A51" s="83" t="s">
        <v>292</v>
      </c>
      <c r="B51" s="84" t="s">
        <v>789</v>
      </c>
      <c r="C51" s="84" t="str">
        <f>Table225[[#This Row],[Ticker]]&amp; ( "US EQUITY")</f>
        <v>IPUS EQUITY</v>
      </c>
      <c r="D51" s="85">
        <v>0.35206178186150683</v>
      </c>
      <c r="E51" s="85">
        <v>0.64793821813849317</v>
      </c>
      <c r="F51" s="86">
        <f>_xlfn.XLOOKUP(Table225[[#This Row],[Ticker]],'R'!B:B,'R'!D:D,"not found")</f>
        <v>15540000000</v>
      </c>
      <c r="G51" s="87">
        <v>13.64981</v>
      </c>
      <c r="H51" s="88">
        <v>19.48038</v>
      </c>
      <c r="I51" s="97">
        <v>-27.726900000000001</v>
      </c>
      <c r="J51" s="97">
        <v>13.0899</v>
      </c>
      <c r="K51" s="104">
        <v>46.921430000000001</v>
      </c>
      <c r="N51" s="4">
        <f>'R'!E49</f>
        <v>1.7921084952170077E-3</v>
      </c>
      <c r="O51" s="66">
        <f>N51*Table225[[#This Row],[2020]]</f>
        <v>2.4461940459098067E-2</v>
      </c>
      <c r="P51" s="3">
        <f>N51*Table225[[#This Row],[2019]]</f>
        <v>3.4910954488055493E-2</v>
      </c>
      <c r="Q51" s="4">
        <f>N51*Table225[[#This Row],[2018]]</f>
        <v>-4.9689613036032455E-2</v>
      </c>
      <c r="R51" s="4">
        <f>N51*Table225[[#This Row],[2017]]</f>
        <v>2.345852099154111E-2</v>
      </c>
      <c r="S51" s="47">
        <f>N51*Table225[[#This Row],[2016]]</f>
        <v>8.4088293310730172E-2</v>
      </c>
      <c r="V51" s="4">
        <f t="shared" si="1"/>
        <v>3.6363636363636364E-3</v>
      </c>
      <c r="W51" s="66">
        <f>V51*Table225[[#This Row],[2020]]</f>
        <v>4.9635672727272727E-2</v>
      </c>
      <c r="X51" s="3">
        <f>V51*Table225[[#This Row],[2019]]</f>
        <v>7.083774545454545E-2</v>
      </c>
      <c r="Y51" s="4">
        <f>V51*Table225[[#This Row],[2018]]</f>
        <v>-0.10082509090909091</v>
      </c>
      <c r="Z51" s="4">
        <f>V51*Table225[[#This Row],[2017]]</f>
        <v>4.7599636363636365E-2</v>
      </c>
      <c r="AA51" s="47">
        <f>V51*Table225[[#This Row],[2016]]</f>
        <v>0.17062338181818182</v>
      </c>
    </row>
    <row r="52" spans="1:27" x14ac:dyDescent="0.35">
      <c r="A52" s="83" t="s">
        <v>322</v>
      </c>
      <c r="B52" s="84" t="s">
        <v>819</v>
      </c>
      <c r="C52" s="84" t="str">
        <f>Table225[[#This Row],[Ticker]]&amp; ( "US EQUITY")</f>
        <v>LDOSUS EQUITY</v>
      </c>
      <c r="D52" s="85">
        <v>0.45779091101432873</v>
      </c>
      <c r="E52" s="85">
        <v>0.54220908898567133</v>
      </c>
      <c r="F52" s="86">
        <f>_xlfn.XLOOKUP(Table225[[#This Row],[Ticker]],'R'!B:B,'R'!D:D,"not found")</f>
        <v>4059999999.9999995</v>
      </c>
      <c r="G52" s="87">
        <v>8.9314579999999992</v>
      </c>
      <c r="H52" s="88">
        <v>88.826520000000002</v>
      </c>
      <c r="I52" s="97">
        <v>-16.70346</v>
      </c>
      <c r="J52" s="97">
        <v>29.10107</v>
      </c>
      <c r="K52" s="104">
        <v>26.507529999999999</v>
      </c>
      <c r="N52" s="4">
        <f>'R'!E50</f>
        <v>4.6820852577741636E-4</v>
      </c>
      <c r="O52" s="66">
        <f>N52*Table225[[#This Row],[2020]]</f>
        <v>4.181784783222911E-3</v>
      </c>
      <c r="P52" s="3">
        <f>N52*Table225[[#This Row],[2019]]</f>
        <v>4.1589333979138193E-2</v>
      </c>
      <c r="Q52" s="4">
        <f>N52*Table225[[#This Row],[2018]]</f>
        <v>-7.820702381982042E-3</v>
      </c>
      <c r="R52" s="4">
        <f>N52*Table225[[#This Row],[2017]]</f>
        <v>1.3625369083245398E-2</v>
      </c>
      <c r="S52" s="47">
        <f>N52*Table225[[#This Row],[2016]]</f>
        <v>1.2411051543300636E-2</v>
      </c>
      <c r="V52" s="4">
        <f t="shared" si="1"/>
        <v>3.6363636363636364E-3</v>
      </c>
      <c r="W52" s="66">
        <f>V52*Table225[[#This Row],[2020]]</f>
        <v>3.2478029090909091E-2</v>
      </c>
      <c r="X52" s="3">
        <f>V52*Table225[[#This Row],[2019]]</f>
        <v>0.3230055272727273</v>
      </c>
      <c r="Y52" s="4">
        <f>V52*Table225[[#This Row],[2018]]</f>
        <v>-6.0739854545454545E-2</v>
      </c>
      <c r="Z52" s="4">
        <f>V52*Table225[[#This Row],[2017]]</f>
        <v>0.10582207272727273</v>
      </c>
      <c r="AA52" s="47">
        <f>V52*Table225[[#This Row],[2016]]</f>
        <v>9.639101818181818E-2</v>
      </c>
    </row>
    <row r="53" spans="1:27" x14ac:dyDescent="0.35">
      <c r="A53" s="83" t="s">
        <v>473</v>
      </c>
      <c r="B53" s="84" t="s">
        <v>959</v>
      </c>
      <c r="C53" s="84" t="str">
        <f>Table225[[#This Row],[Ticker]]&amp; ( "US EQUITY")</f>
        <v>USBUS EQUITY</v>
      </c>
      <c r="D53" s="85">
        <v>0.37418574140672028</v>
      </c>
      <c r="E53" s="85">
        <v>0.62581425859327977</v>
      </c>
      <c r="F53" s="86">
        <f>_xlfn.XLOOKUP(Table225[[#This Row],[Ticker]],'R'!B:B,'R'!D:D,"not found")</f>
        <v>74470000000</v>
      </c>
      <c r="G53" s="87">
        <v>-17.88409</v>
      </c>
      <c r="H53" s="88">
        <v>33.6066</v>
      </c>
      <c r="I53" s="97">
        <v>-12.36233</v>
      </c>
      <c r="J53" s="97">
        <v>6.6123250000000002</v>
      </c>
      <c r="K53" s="104">
        <v>23.400860000000002</v>
      </c>
      <c r="N53" s="4">
        <f>'R'!E51</f>
        <v>8.5880514568089164E-3</v>
      </c>
      <c r="O53" s="66">
        <f>N53*Table225[[#This Row],[2020]]</f>
        <v>-0.15358948517820178</v>
      </c>
      <c r="P53" s="3">
        <f>N53*Table225[[#This Row],[2019]]</f>
        <v>0.28861521008839452</v>
      </c>
      <c r="Q53" s="4">
        <f>N53*Table225[[#This Row],[2018]]</f>
        <v>-0.10616832616605257</v>
      </c>
      <c r="R53" s="4">
        <f>N53*Table225[[#This Row],[2017]]</f>
        <v>5.6786987349144023E-2</v>
      </c>
      <c r="S53" s="47">
        <f>N53*Table225[[#This Row],[2016]]</f>
        <v>0.20096778981358152</v>
      </c>
      <c r="V53" s="4">
        <f t="shared" si="1"/>
        <v>3.6363636363636364E-3</v>
      </c>
      <c r="W53" s="66">
        <f>V53*Table225[[#This Row],[2020]]</f>
        <v>-6.5033054545454549E-2</v>
      </c>
      <c r="X53" s="3">
        <f>V53*Table225[[#This Row],[2019]]</f>
        <v>0.12220581818181818</v>
      </c>
      <c r="Y53" s="4">
        <f>V53*Table225[[#This Row],[2018]]</f>
        <v>-4.4953927272727276E-2</v>
      </c>
      <c r="Z53" s="4">
        <f>V53*Table225[[#This Row],[2017]]</f>
        <v>2.4044818181818181E-2</v>
      </c>
      <c r="AA53" s="47">
        <f>V53*Table225[[#This Row],[2016]]</f>
        <v>8.5094036363636369E-2</v>
      </c>
    </row>
    <row r="54" spans="1:27" x14ac:dyDescent="0.35">
      <c r="A54" s="83" t="s">
        <v>411</v>
      </c>
      <c r="B54" s="84" t="s">
        <v>906</v>
      </c>
      <c r="C54" s="84" t="str">
        <f>Table225[[#This Row],[Ticker]]&amp; ( "US EQUITY")</f>
        <v>RFUS EQUITY</v>
      </c>
      <c r="D54" s="85">
        <v>0.40801664546469474</v>
      </c>
      <c r="E54" s="85">
        <v>0.59198335453530526</v>
      </c>
      <c r="F54" s="86">
        <f>_xlfn.XLOOKUP(Table225[[#This Row],[Ticker]],'R'!B:B,'R'!D:D,"not found")</f>
        <v>12450000000</v>
      </c>
      <c r="G54" s="87">
        <v>-1.6331370000000001</v>
      </c>
      <c r="H54" s="88">
        <v>33.301259999999999</v>
      </c>
      <c r="I54" s="97">
        <v>-20.570489999999999</v>
      </c>
      <c r="J54" s="97">
        <v>22.9497</v>
      </c>
      <c r="K54" s="104">
        <v>53.398009999999999</v>
      </c>
      <c r="N54" s="4">
        <f>'R'!E52</f>
        <v>1.4357625975194173E-3</v>
      </c>
      <c r="O54" s="66">
        <f>N54*Table225[[#This Row],[2020]]</f>
        <v>-2.3447970212250686E-3</v>
      </c>
      <c r="P54" s="3">
        <f>N54*Table225[[#This Row],[2019]]</f>
        <v>4.781270355826947E-2</v>
      </c>
      <c r="Q54" s="4">
        <f>N54*Table225[[#This Row],[2018]]</f>
        <v>-2.9534340154647197E-2</v>
      </c>
      <c r="R54" s="4">
        <f>N54*Table225[[#This Row],[2017]]</f>
        <v>3.2950320884291374E-2</v>
      </c>
      <c r="S54" s="47">
        <f>N54*Table225[[#This Row],[2016]]</f>
        <v>7.6666865539967821E-2</v>
      </c>
      <c r="V54" s="4">
        <f t="shared" si="1"/>
        <v>3.6363636363636364E-3</v>
      </c>
      <c r="W54" s="66">
        <f>V54*Table225[[#This Row],[2020]]</f>
        <v>-5.93868E-3</v>
      </c>
      <c r="X54" s="3">
        <f>V54*Table225[[#This Row],[2019]]</f>
        <v>0.1210954909090909</v>
      </c>
      <c r="Y54" s="4">
        <f>V54*Table225[[#This Row],[2018]]</f>
        <v>-7.4801781818181812E-2</v>
      </c>
      <c r="Z54" s="4">
        <f>V54*Table225[[#This Row],[2017]]</f>
        <v>8.3453454545454539E-2</v>
      </c>
      <c r="AA54" s="47">
        <f>V54*Table225[[#This Row],[2016]]</f>
        <v>0.19417458181818181</v>
      </c>
    </row>
    <row r="55" spans="1:27" x14ac:dyDescent="0.35">
      <c r="A55" s="83" t="s">
        <v>62</v>
      </c>
      <c r="B55" s="84" t="s">
        <v>2</v>
      </c>
      <c r="C55" s="84" t="str">
        <f>Table225[[#This Row],[Ticker]]&amp; ( "US EQUITY")</f>
        <v>DUS EQUITY</v>
      </c>
      <c r="D55" s="85">
        <v>0.37341146639246886</v>
      </c>
      <c r="E55" s="85">
        <v>0.62658853360753108</v>
      </c>
      <c r="F55" s="86">
        <f>_xlfn.XLOOKUP(Table225[[#This Row],[Ticker]],'R'!B:B,'R'!D:D,"not found")</f>
        <v>40310000000</v>
      </c>
      <c r="G55" s="87">
        <v>-5.2741049999999996</v>
      </c>
      <c r="H55" s="88">
        <v>21.507000000000001</v>
      </c>
      <c r="I55" s="97">
        <v>-7.6013089999999996</v>
      </c>
      <c r="J55" s="97">
        <v>9.9135989999999996</v>
      </c>
      <c r="K55" s="104">
        <v>17.705210000000001</v>
      </c>
      <c r="N55" s="4">
        <f>'R'!E53</f>
        <v>4.6486417916472064E-3</v>
      </c>
      <c r="O55" s="66">
        <f>N55*Table225[[#This Row],[2020]]</f>
        <v>-2.4517424916535486E-2</v>
      </c>
      <c r="P55" s="3">
        <f>N55*Table225[[#This Row],[2019]]</f>
        <v>9.9978339012956469E-2</v>
      </c>
      <c r="Q55" s="4">
        <f>N55*Table225[[#This Row],[2018]]</f>
        <v>-3.5335762688624033E-2</v>
      </c>
      <c r="R55" s="4">
        <f>N55*Table225[[#This Row],[2017]]</f>
        <v>4.608477061703195E-2</v>
      </c>
      <c r="S55" s="47">
        <f>N55*Table225[[#This Row],[2016]]</f>
        <v>8.2305179135890041E-2</v>
      </c>
      <c r="V55" s="4">
        <f t="shared" si="1"/>
        <v>3.6363636363636364E-3</v>
      </c>
      <c r="W55" s="66">
        <f>V55*Table225[[#This Row],[2020]]</f>
        <v>-1.9178563636363635E-2</v>
      </c>
      <c r="X55" s="3">
        <f>V55*Table225[[#This Row],[2019]]</f>
        <v>7.8207272727272736E-2</v>
      </c>
      <c r="Y55" s="4">
        <f>V55*Table225[[#This Row],[2018]]</f>
        <v>-2.7641123636363635E-2</v>
      </c>
      <c r="Z55" s="4">
        <f>V55*Table225[[#This Row],[2017]]</f>
        <v>3.604945090909091E-2</v>
      </c>
      <c r="AA55" s="47">
        <f>V55*Table225[[#This Row],[2016]]</f>
        <v>6.4382581818181822E-2</v>
      </c>
    </row>
    <row r="56" spans="1:27" x14ac:dyDescent="0.35">
      <c r="A56" s="83" t="s">
        <v>76</v>
      </c>
      <c r="B56" s="84" t="s">
        <v>581</v>
      </c>
      <c r="C56" s="84" t="str">
        <f>Table225[[#This Row],[Ticker]]&amp; ( "US EQUITY")</f>
        <v>ABTUS EQUITY</v>
      </c>
      <c r="D56" s="85">
        <v>0.34646461259932276</v>
      </c>
      <c r="E56" s="85">
        <v>0.65353538740067729</v>
      </c>
      <c r="F56" s="86">
        <f>_xlfn.XLOOKUP(Table225[[#This Row],[Ticker]],'R'!B:B,'R'!D:D,"not found")</f>
        <v>66140000000</v>
      </c>
      <c r="G56" s="87">
        <v>28.002659999999999</v>
      </c>
      <c r="H56" s="88">
        <v>22.09693</v>
      </c>
      <c r="I56" s="97">
        <v>29.037230000000001</v>
      </c>
      <c r="J56" s="97">
        <v>52.004829999999998</v>
      </c>
      <c r="K56" s="104">
        <v>-12.315799999999999</v>
      </c>
      <c r="N56" s="4">
        <f>'R'!E54</f>
        <v>7.6274167228862861E-3</v>
      </c>
      <c r="O56" s="66">
        <f>N56*Table225[[#This Row],[2020]]</f>
        <v>0.21358795716929888</v>
      </c>
      <c r="P56" s="3">
        <f>N56*Table225[[#This Row],[2019]]</f>
        <v>0.16854249340644767</v>
      </c>
      <c r="Q56" s="4">
        <f>N56*Table225[[#This Row],[2018]]</f>
        <v>0.22147905368829537</v>
      </c>
      <c r="R56" s="4">
        <f>N56*Table225[[#This Row],[2017]]</f>
        <v>0.3966625100128584</v>
      </c>
      <c r="S56" s="47">
        <f>N56*Table225[[#This Row],[2016]]</f>
        <v>-9.3937738875722918E-2</v>
      </c>
      <c r="V56" s="4">
        <f t="shared" si="1"/>
        <v>3.6363636363636364E-3</v>
      </c>
      <c r="W56" s="66">
        <f>V56*Table225[[#This Row],[2020]]</f>
        <v>0.10182785454545454</v>
      </c>
      <c r="X56" s="3">
        <f>V56*Table225[[#This Row],[2019]]</f>
        <v>8.0352472727272722E-2</v>
      </c>
      <c r="Y56" s="4">
        <f>V56*Table225[[#This Row],[2018]]</f>
        <v>0.10558992727272727</v>
      </c>
      <c r="Z56" s="4">
        <f>V56*Table225[[#This Row],[2017]]</f>
        <v>0.18910847272727271</v>
      </c>
      <c r="AA56" s="47">
        <f>V56*Table225[[#This Row],[2016]]</f>
        <v>-4.4784727272727268E-2</v>
      </c>
    </row>
    <row r="57" spans="1:27" x14ac:dyDescent="0.35">
      <c r="A57" s="83" t="s">
        <v>61</v>
      </c>
      <c r="B57" s="84" t="s">
        <v>569</v>
      </c>
      <c r="C57" s="84" t="str">
        <f>Table225[[#This Row],[Ticker]]&amp; ( "US EQUITY")</f>
        <v>CATUS EQUITY</v>
      </c>
      <c r="D57" s="85">
        <v>0.27787843317352928</v>
      </c>
      <c r="E57" s="85">
        <v>0.72212156682647077</v>
      </c>
      <c r="F57" s="86">
        <f>_xlfn.XLOOKUP(Table225[[#This Row],[Ticker]],'R'!B:B,'R'!D:D,"not found")</f>
        <v>39570000000</v>
      </c>
      <c r="G57" s="87">
        <v>26.923999999999999</v>
      </c>
      <c r="H57" s="88">
        <v>19.47634</v>
      </c>
      <c r="I57" s="97">
        <v>-17.541460000000001</v>
      </c>
      <c r="J57" s="97">
        <v>75.002480000000006</v>
      </c>
      <c r="K57" s="104">
        <v>42.169620000000002</v>
      </c>
      <c r="N57" s="4">
        <f>'R'!E55</f>
        <v>4.5633032918749672E-3</v>
      </c>
      <c r="O57" s="66">
        <f>N57*Table225[[#This Row],[2020]]</f>
        <v>0.12286237783044161</v>
      </c>
      <c r="P57" s="3">
        <f>N57*Table225[[#This Row],[2019]]</f>
        <v>8.8876446435676104E-2</v>
      </c>
      <c r="Q57" s="4">
        <f>N57*Table225[[#This Row],[2018]]</f>
        <v>-8.004700216229306E-2</v>
      </c>
      <c r="R57" s="4">
        <f>N57*Table225[[#This Row],[2017]]</f>
        <v>0.34225906388278643</v>
      </c>
      <c r="S57" s="47">
        <f>N57*Table225[[#This Row],[2016]]</f>
        <v>0.19243276576311646</v>
      </c>
      <c r="V57" s="4">
        <f t="shared" si="1"/>
        <v>3.6363636363636364E-3</v>
      </c>
      <c r="W57" s="66">
        <f>V57*Table225[[#This Row],[2020]]</f>
        <v>9.7905454545454546E-2</v>
      </c>
      <c r="X57" s="3">
        <f>V57*Table225[[#This Row],[2019]]</f>
        <v>7.0823054545454553E-2</v>
      </c>
      <c r="Y57" s="4">
        <f>V57*Table225[[#This Row],[2018]]</f>
        <v>-6.378712727272727E-2</v>
      </c>
      <c r="Z57" s="4">
        <f>V57*Table225[[#This Row],[2017]]</f>
        <v>0.27273629090909091</v>
      </c>
      <c r="AA57" s="47">
        <f>V57*Table225[[#This Row],[2016]]</f>
        <v>0.15334407272727274</v>
      </c>
    </row>
    <row r="58" spans="1:27" x14ac:dyDescent="0.35">
      <c r="A58" s="83" t="s">
        <v>163</v>
      </c>
      <c r="B58" s="84" t="s">
        <v>667</v>
      </c>
      <c r="C58" s="84" t="str">
        <f>Table225[[#This Row],[Ticker]]&amp; ( "US EQUITY")</f>
        <v>CVXUS EQUITY</v>
      </c>
      <c r="D58" s="85">
        <v>9.1535325741924981E-2</v>
      </c>
      <c r="E58" s="85">
        <v>0.90846467425807498</v>
      </c>
      <c r="F58" s="86">
        <f>_xlfn.XLOOKUP(Table225[[#This Row],[Ticker]],'R'!B:B,'R'!D:D,"not found")</f>
        <v>169380000000</v>
      </c>
      <c r="G58" s="87">
        <v>-25.974070000000001</v>
      </c>
      <c r="H58" s="88">
        <v>15.277889999999999</v>
      </c>
      <c r="I58" s="97">
        <v>-9.7774090000000005</v>
      </c>
      <c r="J58" s="97">
        <v>10.622</v>
      </c>
      <c r="K58" s="104">
        <v>36.64378</v>
      </c>
      <c r="N58" s="4">
        <f>'R'!E56</f>
        <v>1.9533290664083446E-2</v>
      </c>
      <c r="O58" s="66">
        <f>N58*Table225[[#This Row],[2020]]</f>
        <v>-0.50735905903924994</v>
      </c>
      <c r="P58" s="3">
        <f>N58*Table225[[#This Row],[2019]]</f>
        <v>0.29842746610389381</v>
      </c>
      <c r="Q58" s="4">
        <f>N58*Table225[[#This Row],[2018]]</f>
        <v>-0.19098497193862549</v>
      </c>
      <c r="R58" s="4">
        <f>N58*Table225[[#This Row],[2017]]</f>
        <v>0.20748261343389438</v>
      </c>
      <c r="S58" s="47">
        <f>N58*Table225[[#This Row],[2016]]</f>
        <v>0.71577360577072768</v>
      </c>
      <c r="V58" s="4">
        <f t="shared" si="1"/>
        <v>3.6363636363636364E-3</v>
      </c>
      <c r="W58" s="66">
        <f>V58*Table225[[#This Row],[2020]]</f>
        <v>-9.4451163636363647E-2</v>
      </c>
      <c r="X58" s="3">
        <f>V58*Table225[[#This Row],[2019]]</f>
        <v>5.5555963636363635E-2</v>
      </c>
      <c r="Y58" s="4">
        <f>V58*Table225[[#This Row],[2018]]</f>
        <v>-3.555421454545455E-2</v>
      </c>
      <c r="Z58" s="4">
        <f>V58*Table225[[#This Row],[2017]]</f>
        <v>3.8625454545454546E-2</v>
      </c>
      <c r="AA58" s="47">
        <f>V58*Table225[[#This Row],[2016]]</f>
        <v>0.13325010909090909</v>
      </c>
    </row>
    <row r="59" spans="1:27" x14ac:dyDescent="0.35">
      <c r="A59" s="83" t="s">
        <v>60</v>
      </c>
      <c r="B59" s="84" t="s">
        <v>568</v>
      </c>
      <c r="C59" s="84" t="str">
        <f>Table225[[#This Row],[Ticker]]&amp; ( "US EQUITY")</f>
        <v>JCIUS EQUITY</v>
      </c>
      <c r="D59" s="85">
        <v>0.47730413205949213</v>
      </c>
      <c r="E59" s="85">
        <v>0.52269586794050782</v>
      </c>
      <c r="F59" s="86">
        <f>_xlfn.XLOOKUP(Table225[[#This Row],[Ticker]],'R'!B:B,'R'!D:D,"not found")</f>
        <v>20670000000</v>
      </c>
      <c r="G59" s="87">
        <v>17.628399999999999</v>
      </c>
      <c r="H59" s="88">
        <v>40.917090000000002</v>
      </c>
      <c r="I59" s="97">
        <v>-19.84639</v>
      </c>
      <c r="J59" s="97">
        <v>-5.1362990000000002</v>
      </c>
      <c r="K59" s="104">
        <v>41.747869999999999</v>
      </c>
      <c r="N59" s="4">
        <f>'R'!E57</f>
        <v>2.3837118787732015E-3</v>
      </c>
      <c r="O59" s="66">
        <f>N59*Table225[[#This Row],[2020]]</f>
        <v>4.2021026483765503E-2</v>
      </c>
      <c r="P59" s="3">
        <f>N59*Table225[[#This Row],[2019]]</f>
        <v>9.7534553477832187E-2</v>
      </c>
      <c r="Q59" s="4">
        <f>N59*Table225[[#This Row],[2018]]</f>
        <v>-4.730807559376568E-2</v>
      </c>
      <c r="R59" s="4">
        <f>N59*Table225[[#This Row],[2017]]</f>
        <v>-1.2243456939230917E-2</v>
      </c>
      <c r="S59" s="47">
        <f>N59*Table225[[#This Row],[2016]]</f>
        <v>9.9514893632479368E-2</v>
      </c>
      <c r="V59" s="4">
        <f t="shared" si="1"/>
        <v>3.6363636363636364E-3</v>
      </c>
      <c r="W59" s="66">
        <f>V59*Table225[[#This Row],[2020]]</f>
        <v>6.4103272727272731E-2</v>
      </c>
      <c r="X59" s="3">
        <f>V59*Table225[[#This Row],[2019]]</f>
        <v>0.14878941818181818</v>
      </c>
      <c r="Y59" s="4">
        <f>V59*Table225[[#This Row],[2018]]</f>
        <v>-7.2168690909090907E-2</v>
      </c>
      <c r="Z59" s="4">
        <f>V59*Table225[[#This Row],[2017]]</f>
        <v>-1.8677450909090908E-2</v>
      </c>
      <c r="AA59" s="47">
        <f>V59*Table225[[#This Row],[2016]]</f>
        <v>0.15181043636363636</v>
      </c>
    </row>
    <row r="60" spans="1:27" x14ac:dyDescent="0.35">
      <c r="A60" s="83" t="s">
        <v>59</v>
      </c>
      <c r="B60" s="84" t="s">
        <v>567</v>
      </c>
      <c r="C60" s="84" t="str">
        <f>Table225[[#This Row],[Ticker]]&amp; ( "US EQUITY")</f>
        <v>DUKUS EQUITY</v>
      </c>
      <c r="D60" s="85">
        <v>0.12519244150416642</v>
      </c>
      <c r="E60" s="85">
        <v>0.87480755849583358</v>
      </c>
      <c r="F60" s="86">
        <f>_xlfn.XLOOKUP(Table225[[#This Row],[Ticker]],'R'!B:B,'R'!D:D,"not found")</f>
        <v>49120000000</v>
      </c>
      <c r="G60" s="87">
        <v>4.7518969999999996</v>
      </c>
      <c r="H60" s="88">
        <v>10.26524</v>
      </c>
      <c r="I60" s="97">
        <v>7.3831800000000003</v>
      </c>
      <c r="J60" s="97">
        <v>12.95688</v>
      </c>
      <c r="K60" s="104">
        <v>13.48883</v>
      </c>
      <c r="N60" s="4">
        <f>'R'!E58</f>
        <v>5.6646312281248019E-3</v>
      </c>
      <c r="O60" s="66">
        <f>N60*Table225[[#This Row],[2020]]</f>
        <v>2.691774413903256E-2</v>
      </c>
      <c r="P60" s="3">
        <f>N60*Table225[[#This Row],[2019]]</f>
        <v>5.8148799068195846E-2</v>
      </c>
      <c r="Q60" s="4">
        <f>N60*Table225[[#This Row],[2018]]</f>
        <v>4.1822991990866476E-2</v>
      </c>
      <c r="R60" s="4">
        <f>N60*Table225[[#This Row],[2017]]</f>
        <v>7.3395947067065689E-2</v>
      </c>
      <c r="S60" s="47">
        <f>N60*Table225[[#This Row],[2016]]</f>
        <v>7.6409247648866668E-2</v>
      </c>
      <c r="V60" s="4">
        <f t="shared" si="1"/>
        <v>3.6363636363636364E-3</v>
      </c>
      <c r="W60" s="66">
        <f>V60*Table225[[#This Row],[2020]]</f>
        <v>1.7279625454545453E-2</v>
      </c>
      <c r="X60" s="3">
        <f>V60*Table225[[#This Row],[2019]]</f>
        <v>3.7328145454545457E-2</v>
      </c>
      <c r="Y60" s="4">
        <f>V60*Table225[[#This Row],[2018]]</f>
        <v>2.6847927272727275E-2</v>
      </c>
      <c r="Z60" s="4">
        <f>V60*Table225[[#This Row],[2017]]</f>
        <v>4.7115927272727273E-2</v>
      </c>
      <c r="AA60" s="47">
        <f>V60*Table225[[#This Row],[2016]]</f>
        <v>4.905029090909091E-2</v>
      </c>
    </row>
    <row r="61" spans="1:27" x14ac:dyDescent="0.35">
      <c r="A61" s="83" t="s">
        <v>211</v>
      </c>
      <c r="B61" s="84" t="s">
        <v>713</v>
      </c>
      <c r="C61" s="84" t="str">
        <f>Table225[[#This Row],[Ticker]]&amp; ( "US EQUITY")</f>
        <v>DTEUS EQUITY</v>
      </c>
      <c r="D61" s="85">
        <v>0.46339788870535831</v>
      </c>
      <c r="E61" s="85">
        <v>0.53660211129464164</v>
      </c>
      <c r="F61" s="86">
        <f>_xlfn.XLOOKUP(Table225[[#This Row],[Ticker]],'R'!B:B,'R'!D:D,"not found")</f>
        <v>14390000000</v>
      </c>
      <c r="G61" s="87">
        <v>-2.9023889999999999</v>
      </c>
      <c r="H61" s="88">
        <v>21.360980000000001</v>
      </c>
      <c r="I61" s="97">
        <v>4.193282</v>
      </c>
      <c r="J61" s="97">
        <v>14.58806</v>
      </c>
      <c r="K61" s="104">
        <v>26.925380000000001</v>
      </c>
      <c r="N61" s="4">
        <f>'R'!E59</f>
        <v>1.6594878536790696E-3</v>
      </c>
      <c r="O61" s="66">
        <f>N61*Table225[[#This Row],[2020]]</f>
        <v>-4.8164792921517405E-3</v>
      </c>
      <c r="P61" s="3">
        <f>N61*Table225[[#This Row],[2019]]</f>
        <v>3.5448286852681532E-2</v>
      </c>
      <c r="Q61" s="4">
        <f>N61*Table225[[#This Row],[2018]]</f>
        <v>6.9587005460510758E-3</v>
      </c>
      <c r="R61" s="4">
        <f>N61*Table225[[#This Row],[2017]]</f>
        <v>2.4208708378741488E-2</v>
      </c>
      <c r="S61" s="47">
        <f>N61*Table225[[#This Row],[2016]]</f>
        <v>4.4682341065693347E-2</v>
      </c>
      <c r="V61" s="4">
        <f t="shared" si="1"/>
        <v>3.6363636363636364E-3</v>
      </c>
      <c r="W61" s="66">
        <f>V61*Table225[[#This Row],[2020]]</f>
        <v>-1.0554141818181817E-2</v>
      </c>
      <c r="X61" s="3">
        <f>V61*Table225[[#This Row],[2019]]</f>
        <v>7.7676290909090909E-2</v>
      </c>
      <c r="Y61" s="4">
        <f>V61*Table225[[#This Row],[2018]]</f>
        <v>1.5248298181818182E-2</v>
      </c>
      <c r="Z61" s="4">
        <f>V61*Table225[[#This Row],[2017]]</f>
        <v>5.3047490909090909E-2</v>
      </c>
      <c r="AA61" s="47">
        <f>V61*Table225[[#This Row],[2016]]</f>
        <v>9.7910472727272727E-2</v>
      </c>
    </row>
    <row r="62" spans="1:27" x14ac:dyDescent="0.35">
      <c r="A62" s="83" t="s">
        <v>430</v>
      </c>
      <c r="B62" s="84" t="s">
        <v>923</v>
      </c>
      <c r="C62" s="84" t="str">
        <f>Table225[[#This Row],[Ticker]]&amp; ( "US EQUITY")</f>
        <v>SOUS EQUITY</v>
      </c>
      <c r="D62" s="85">
        <v>0.21028020559463748</v>
      </c>
      <c r="E62" s="85">
        <v>0.78971979440536255</v>
      </c>
      <c r="F62" s="86">
        <f>_xlfn.XLOOKUP(Table225[[#This Row],[Ticker]],'R'!B:B,'R'!D:D,"not found")</f>
        <v>42650000000</v>
      </c>
      <c r="G62" s="87">
        <v>0.6630182</v>
      </c>
      <c r="H62" s="88">
        <v>51.618290000000002</v>
      </c>
      <c r="I62" s="97">
        <v>-3.751433</v>
      </c>
      <c r="J62" s="97">
        <v>2.414453</v>
      </c>
      <c r="K62" s="104">
        <v>9.9347949999999994</v>
      </c>
      <c r="N62" s="4">
        <f>'R'!E60</f>
        <v>4.9184959666026627E-3</v>
      </c>
      <c r="O62" s="66">
        <f>N62*Table225[[#This Row],[2020]]</f>
        <v>3.2610523424841573E-3</v>
      </c>
      <c r="P62" s="3">
        <f>N62*Table225[[#This Row],[2019]]</f>
        <v>0.25388435116792657</v>
      </c>
      <c r="Q62" s="4">
        <f>N62*Table225[[#This Row],[2018]]</f>
        <v>-1.8451408079480126E-2</v>
      </c>
      <c r="R62" s="4">
        <f>N62*Table225[[#This Row],[2017]]</f>
        <v>1.1875477342051698E-2</v>
      </c>
      <c r="S62" s="47">
        <f>N62*Table225[[#This Row],[2016]]</f>
        <v>4.8864249136524297E-2</v>
      </c>
      <c r="V62" s="4">
        <f t="shared" si="1"/>
        <v>3.6363636363636364E-3</v>
      </c>
      <c r="W62" s="66">
        <f>V62*Table225[[#This Row],[2020]]</f>
        <v>2.4109752727272727E-3</v>
      </c>
      <c r="X62" s="3">
        <f>V62*Table225[[#This Row],[2019]]</f>
        <v>0.18770287272727273</v>
      </c>
      <c r="Y62" s="4">
        <f>V62*Table225[[#This Row],[2018]]</f>
        <v>-1.3641574545454546E-2</v>
      </c>
      <c r="Z62" s="4">
        <f>V62*Table225[[#This Row],[2017]]</f>
        <v>8.7798290909090904E-3</v>
      </c>
      <c r="AA62" s="47">
        <f>V62*Table225[[#This Row],[2016]]</f>
        <v>3.612652727272727E-2</v>
      </c>
    </row>
    <row r="63" spans="1:27" x14ac:dyDescent="0.35">
      <c r="A63" s="83" t="s">
        <v>423</v>
      </c>
      <c r="B63" s="84" t="s">
        <v>918</v>
      </c>
      <c r="C63" s="84" t="str">
        <f>Table225[[#This Row],[Ticker]]&amp; ( "US EQUITY")</f>
        <v>SREUS EQUITY</v>
      </c>
      <c r="D63" s="85">
        <v>0.46859583613163197</v>
      </c>
      <c r="E63" s="85">
        <v>0.53140416386836808</v>
      </c>
      <c r="F63" s="86">
        <f>_xlfn.XLOOKUP(Table225[[#This Row],[Ticker]],'R'!B:B,'R'!D:D,"not found")</f>
        <v>23340000000</v>
      </c>
      <c r="G63" s="87">
        <v>-12.793430000000001</v>
      </c>
      <c r="H63" s="88">
        <v>43.974449999999997</v>
      </c>
      <c r="I63" s="97">
        <v>4.4627309999999998</v>
      </c>
      <c r="J63" s="97">
        <v>9.4166159999999994</v>
      </c>
      <c r="K63" s="104">
        <v>10.14955</v>
      </c>
      <c r="N63" s="4">
        <f>'R'!E61</f>
        <v>2.691622411735197E-3</v>
      </c>
      <c r="O63" s="66">
        <f>N63*Table225[[#This Row],[2020]]</f>
        <v>-3.443508291096542E-2</v>
      </c>
      <c r="P63" s="3">
        <f>N63*Table225[[#This Row],[2019]]</f>
        <v>0.11836261516372883</v>
      </c>
      <c r="Q63" s="4">
        <f>N63*Table225[[#This Row],[2018]]</f>
        <v>1.2011986777145427E-2</v>
      </c>
      <c r="R63" s="4">
        <f>N63*Table225[[#This Row],[2017]]</f>
        <v>2.5345974668304242E-2</v>
      </c>
      <c r="S63" s="47">
        <f>N63*Table225[[#This Row],[2016]]</f>
        <v>2.7318756249026969E-2</v>
      </c>
      <c r="V63" s="4">
        <f t="shared" si="1"/>
        <v>3.6363636363636364E-3</v>
      </c>
      <c r="W63" s="66">
        <f>V63*Table225[[#This Row],[2020]]</f>
        <v>-4.6521563636363637E-2</v>
      </c>
      <c r="X63" s="3">
        <f>V63*Table225[[#This Row],[2019]]</f>
        <v>0.15990709090909089</v>
      </c>
      <c r="Y63" s="4">
        <f>V63*Table225[[#This Row],[2018]]</f>
        <v>1.6228112727272728E-2</v>
      </c>
      <c r="Z63" s="4">
        <f>V63*Table225[[#This Row],[2017]]</f>
        <v>3.424224E-2</v>
      </c>
      <c r="AA63" s="47">
        <f>V63*Table225[[#This Row],[2016]]</f>
        <v>3.6907454545454542E-2</v>
      </c>
    </row>
    <row r="64" spans="1:27" x14ac:dyDescent="0.35">
      <c r="A64" s="83" t="s">
        <v>58</v>
      </c>
      <c r="B64" s="84" t="s">
        <v>566</v>
      </c>
      <c r="C64" s="84" t="str">
        <f>Table225[[#This Row],[Ticker]]&amp; ( "US EQUITY")</f>
        <v>PNCUS EQUITY</v>
      </c>
      <c r="D64" s="85">
        <v>0.22304435640487844</v>
      </c>
      <c r="E64" s="85">
        <v>0.77695564359512159</v>
      </c>
      <c r="F64" s="86">
        <f>_xlfn.XLOOKUP(Table225[[#This Row],[Ticker]],'R'!B:B,'R'!D:D,"not found")</f>
        <v>48040000000</v>
      </c>
      <c r="G64" s="87">
        <v>-2.732456</v>
      </c>
      <c r="H64" s="88">
        <v>40.89246</v>
      </c>
      <c r="I64" s="97">
        <v>-16.977930000000001</v>
      </c>
      <c r="J64" s="97">
        <v>25.959309999999999</v>
      </c>
      <c r="K64" s="104">
        <v>25.780950000000001</v>
      </c>
      <c r="N64" s="4">
        <f>'R'!E62</f>
        <v>5.5400831473761299E-3</v>
      </c>
      <c r="O64" s="66">
        <f>N64*Table225[[#This Row],[2020]]</f>
        <v>-1.513803343654679E-2</v>
      </c>
      <c r="P64" s="3">
        <f>N64*Table225[[#This Row],[2019]]</f>
        <v>0.2265476285007525</v>
      </c>
      <c r="Q64" s="4">
        <f>N64*Table225[[#This Row],[2018]]</f>
        <v>-9.4059143870331624E-2</v>
      </c>
      <c r="R64" s="4">
        <f>N64*Table225[[#This Row],[2017]]</f>
        <v>0.14381673584851262</v>
      </c>
      <c r="S64" s="47">
        <f>N64*Table225[[#This Row],[2016]]</f>
        <v>0.14282860661834665</v>
      </c>
      <c r="V64" s="4">
        <f t="shared" si="1"/>
        <v>3.6363636363636364E-3</v>
      </c>
      <c r="W64" s="66">
        <f>V64*Table225[[#This Row],[2020]]</f>
        <v>-9.9362036363636365E-3</v>
      </c>
      <c r="X64" s="3">
        <f>V64*Table225[[#This Row],[2019]]</f>
        <v>0.14869985454545454</v>
      </c>
      <c r="Y64" s="4">
        <f>V64*Table225[[#This Row],[2018]]</f>
        <v>-6.1737927272727276E-2</v>
      </c>
      <c r="Z64" s="4">
        <f>V64*Table225[[#This Row],[2017]]</f>
        <v>9.43974909090909E-2</v>
      </c>
      <c r="AA64" s="47">
        <f>V64*Table225[[#This Row],[2016]]</f>
        <v>9.3748909090909091E-2</v>
      </c>
    </row>
    <row r="65" spans="1:27" x14ac:dyDescent="0.35">
      <c r="A65" s="83" t="s">
        <v>338</v>
      </c>
      <c r="B65" s="84" t="s">
        <v>835</v>
      </c>
      <c r="C65" s="84" t="str">
        <f>Table225[[#This Row],[Ticker]]&amp; ( "US EQUITY")</f>
        <v>MCDUS EQUITY</v>
      </c>
      <c r="D65" s="85">
        <v>0.38623399122856877</v>
      </c>
      <c r="E65" s="85">
        <v>0.61376600877143128</v>
      </c>
      <c r="F65" s="86">
        <f>_xlfn.XLOOKUP(Table225[[#This Row],[Ticker]],'R'!B:B,'R'!D:D,"not found")</f>
        <v>107130000000</v>
      </c>
      <c r="G65" s="87">
        <v>11.32047</v>
      </c>
      <c r="H65" s="88">
        <v>13.970409999999999</v>
      </c>
      <c r="I65" s="97">
        <v>5.783296</v>
      </c>
      <c r="J65" s="97">
        <v>45.023260000000001</v>
      </c>
      <c r="K65" s="104">
        <v>6.2037940000000003</v>
      </c>
      <c r="N65" s="4">
        <f>'R'!E63</f>
        <v>1.2354477676486361E-2</v>
      </c>
      <c r="O65" s="66">
        <f>N65*Table225[[#This Row],[2020]]</f>
        <v>0.13985849390233357</v>
      </c>
      <c r="P65" s="3">
        <f>N65*Table225[[#This Row],[2019]]</f>
        <v>0.1725971184763618</v>
      </c>
      <c r="Q65" s="4">
        <f>N65*Table225[[#This Row],[2018]]</f>
        <v>7.1449601328512871E-2</v>
      </c>
      <c r="R65" s="4">
        <f>N65*Table225[[#This Row],[2017]]</f>
        <v>0.55623886059264127</v>
      </c>
      <c r="S65" s="47">
        <f>N65*Table225[[#This Row],[2016]]</f>
        <v>7.6644634482520027E-2</v>
      </c>
      <c r="V65" s="4">
        <f t="shared" si="1"/>
        <v>3.6363636363636364E-3</v>
      </c>
      <c r="W65" s="66">
        <f>V65*Table225[[#This Row],[2020]]</f>
        <v>4.1165345454545456E-2</v>
      </c>
      <c r="X65" s="3">
        <f>V65*Table225[[#This Row],[2019]]</f>
        <v>5.0801490909090904E-2</v>
      </c>
      <c r="Y65" s="4">
        <f>V65*Table225[[#This Row],[2018]]</f>
        <v>2.1030167272727274E-2</v>
      </c>
      <c r="Z65" s="4">
        <f>V65*Table225[[#This Row],[2017]]</f>
        <v>0.16372094545454546</v>
      </c>
      <c r="AA65" s="47">
        <f>V65*Table225[[#This Row],[2016]]</f>
        <v>2.255925090909091E-2</v>
      </c>
    </row>
    <row r="66" spans="1:27" x14ac:dyDescent="0.35">
      <c r="A66" s="83" t="s">
        <v>442</v>
      </c>
      <c r="B66" s="84" t="s">
        <v>935</v>
      </c>
      <c r="C66" s="84" t="str">
        <f>Table225[[#This Row],[Ticker]]&amp; ( "US EQUITY")</f>
        <v>TGTUS EQUITY</v>
      </c>
      <c r="D66" s="85">
        <v>0.49113517372679677</v>
      </c>
      <c r="E66" s="85">
        <v>0.50886482627320329</v>
      </c>
      <c r="F66" s="86">
        <f>_xlfn.XLOOKUP(Table225[[#This Row],[Ticker]],'R'!B:B,'R'!D:D,"not found")</f>
        <v>44730000000</v>
      </c>
      <c r="G66" s="87">
        <v>40.476219999999998</v>
      </c>
      <c r="H66" s="88">
        <v>100.15260000000001</v>
      </c>
      <c r="I66" s="97">
        <v>4.7757860000000001</v>
      </c>
      <c r="J66" s="97">
        <v>-5.8532529999999996</v>
      </c>
      <c r="K66" s="104">
        <v>2.6747700000000001</v>
      </c>
      <c r="N66" s="4">
        <f>'R'!E64</f>
        <v>5.1583663443408468E-3</v>
      </c>
      <c r="O66" s="66">
        <f>N66*Table225[[#This Row],[2020]]</f>
        <v>0.20879117099413586</v>
      </c>
      <c r="P66" s="3">
        <f>N66*Table225[[#This Row],[2019]]</f>
        <v>0.51662380113823114</v>
      </c>
      <c r="Q66" s="4">
        <f>N66*Table225[[#This Row],[2018]]</f>
        <v>2.4635253770174195E-2</v>
      </c>
      <c r="R66" s="4">
        <f>N66*Table225[[#This Row],[2017]]</f>
        <v>-3.0193223280112091E-2</v>
      </c>
      <c r="S66" s="47">
        <f>N66*Table225[[#This Row],[2016]]</f>
        <v>1.3797443546852568E-2</v>
      </c>
      <c r="V66" s="4">
        <f t="shared" si="1"/>
        <v>3.6363636363636364E-3</v>
      </c>
      <c r="W66" s="66">
        <f>V66*Table225[[#This Row],[2020]]</f>
        <v>0.14718625454545453</v>
      </c>
      <c r="X66" s="3">
        <f>V66*Table225[[#This Row],[2019]]</f>
        <v>0.36419127272727275</v>
      </c>
      <c r="Y66" s="4">
        <f>V66*Table225[[#This Row],[2018]]</f>
        <v>1.7366494545454546E-2</v>
      </c>
      <c r="Z66" s="4">
        <f>V66*Table225[[#This Row],[2017]]</f>
        <v>-2.1284556363636364E-2</v>
      </c>
      <c r="AA66" s="47">
        <f>V66*Table225[[#This Row],[2016]]</f>
        <v>9.7264363636363638E-3</v>
      </c>
    </row>
    <row r="67" spans="1:27" x14ac:dyDescent="0.35">
      <c r="A67" s="83" t="s">
        <v>213</v>
      </c>
      <c r="B67" s="84" t="s">
        <v>715</v>
      </c>
      <c r="C67" s="84" t="str">
        <f>Table225[[#This Row],[Ticker]]&amp; ( "US EQUITY")</f>
        <v>DDUS EQUITY</v>
      </c>
      <c r="D67" s="85">
        <v>0.43797066770913434</v>
      </c>
      <c r="E67" s="85">
        <v>0.56202933229086571</v>
      </c>
      <c r="F67" s="86">
        <f>_xlfn.XLOOKUP(Table225[[#This Row],[Ticker]],'R'!B:B,'R'!D:D,"not found")</f>
        <v>57500000000</v>
      </c>
      <c r="G67" s="87">
        <v>13.31307</v>
      </c>
      <c r="H67" s="88">
        <v>-13.9587</v>
      </c>
      <c r="I67" s="97">
        <v>-23.153849999999998</v>
      </c>
      <c r="J67" s="97">
        <v>27.850770000000001</v>
      </c>
      <c r="K67" s="104">
        <v>15.108140000000001</v>
      </c>
      <c r="N67" s="4">
        <f>'R'!E65</f>
        <v>6.6310320768969075E-3</v>
      </c>
      <c r="O67" s="66">
        <f>N67*Table225[[#This Row],[2020]]</f>
        <v>8.8279394211973908E-2</v>
      </c>
      <c r="P67" s="3">
        <f>N67*Table225[[#This Row],[2019]]</f>
        <v>-9.2560587451780862E-2</v>
      </c>
      <c r="Q67" s="4">
        <f>N67*Table225[[#This Row],[2018]]</f>
        <v>-0.15353392205365946</v>
      </c>
      <c r="R67" s="4">
        <f>N67*Table225[[#This Row],[2017]]</f>
        <v>0.1846793492362781</v>
      </c>
      <c r="S67" s="47">
        <f>N67*Table225[[#This Row],[2016]]</f>
        <v>0.10018256096224924</v>
      </c>
      <c r="V67" s="4">
        <f t="shared" si="1"/>
        <v>3.6363636363636364E-3</v>
      </c>
      <c r="W67" s="66">
        <f>V67*Table225[[#This Row],[2020]]</f>
        <v>4.8411163636363636E-2</v>
      </c>
      <c r="X67" s="3">
        <f>V67*Table225[[#This Row],[2019]]</f>
        <v>-5.0758909090909091E-2</v>
      </c>
      <c r="Y67" s="4">
        <f>V67*Table225[[#This Row],[2018]]</f>
        <v>-8.4195818181818177E-2</v>
      </c>
      <c r="Z67" s="4">
        <f>V67*Table225[[#This Row],[2017]]</f>
        <v>0.10127552727272728</v>
      </c>
      <c r="AA67" s="47">
        <f>V67*Table225[[#This Row],[2016]]</f>
        <v>5.4938690909090912E-2</v>
      </c>
    </row>
    <row r="68" spans="1:27" x14ac:dyDescent="0.35">
      <c r="A68" s="83" t="s">
        <v>56</v>
      </c>
      <c r="B68" s="84" t="s">
        <v>564</v>
      </c>
      <c r="C68" s="84" t="str">
        <f>Table225[[#This Row],[Ticker]]&amp; ( "US EQUITY")</f>
        <v>PNWUS EQUITY</v>
      </c>
      <c r="D68" s="85">
        <v>0.29414290595694598</v>
      </c>
      <c r="E68" s="85">
        <v>0.70585709404305408</v>
      </c>
      <c r="F68" s="86">
        <f>_xlfn.XLOOKUP(Table225[[#This Row],[Ticker]],'R'!B:B,'R'!D:D,"not found")</f>
        <v>7160000000</v>
      </c>
      <c r="G68" s="87">
        <v>-7.6562049999999999</v>
      </c>
      <c r="H68" s="88">
        <v>9.0311409999999999</v>
      </c>
      <c r="I68" s="97">
        <v>3.5637379999999999</v>
      </c>
      <c r="J68" s="97">
        <v>12.665369999999999</v>
      </c>
      <c r="K68" s="104">
        <v>25.322849999999999</v>
      </c>
      <c r="N68" s="4">
        <f>'R'!E66</f>
        <v>8.2570764644490191E-4</v>
      </c>
      <c r="O68" s="66">
        <f>N68*Table225[[#This Row],[2020]]</f>
        <v>-6.3217870112496901E-3</v>
      </c>
      <c r="P68" s="3">
        <f>N68*Table225[[#This Row],[2019]]</f>
        <v>7.4570821798220577E-3</v>
      </c>
      <c r="Q68" s="4">
        <f>N68*Table225[[#This Row],[2018]]</f>
        <v>2.9426057165262615E-3</v>
      </c>
      <c r="R68" s="4">
        <f>N68*Table225[[#This Row],[2017]]</f>
        <v>1.0457892854053867E-2</v>
      </c>
      <c r="S68" s="47">
        <f>N68*Table225[[#This Row],[2016]]</f>
        <v>2.0909270874777282E-2</v>
      </c>
      <c r="V68" s="4">
        <f t="shared" si="1"/>
        <v>3.6363636363636364E-3</v>
      </c>
      <c r="W68" s="66">
        <f>V68*Table225[[#This Row],[2020]]</f>
        <v>-2.7840745454545453E-2</v>
      </c>
      <c r="X68" s="3">
        <f>V68*Table225[[#This Row],[2019]]</f>
        <v>3.2840512727272723E-2</v>
      </c>
      <c r="Y68" s="4">
        <f>V68*Table225[[#This Row],[2018]]</f>
        <v>1.2959047272727273E-2</v>
      </c>
      <c r="Z68" s="4">
        <f>V68*Table225[[#This Row],[2017]]</f>
        <v>4.6055890909090909E-2</v>
      </c>
      <c r="AA68" s="47">
        <f>V68*Table225[[#This Row],[2016]]</f>
        <v>9.2083090909090906E-2</v>
      </c>
    </row>
    <row r="69" spans="1:27" x14ac:dyDescent="0.35">
      <c r="A69" s="83" t="s">
        <v>224</v>
      </c>
      <c r="B69" s="84" t="s">
        <v>725</v>
      </c>
      <c r="C69" s="84" t="str">
        <f>Table225[[#This Row],[Ticker]]&amp; ( "US EQUITY")</f>
        <v>ETRUS EQUITY</v>
      </c>
      <c r="D69" s="85">
        <v>0.39524035648790673</v>
      </c>
      <c r="E69" s="85">
        <v>0.60475964351209321</v>
      </c>
      <c r="F69" s="86">
        <f>_xlfn.XLOOKUP(Table225[[#This Row],[Ticker]],'R'!B:B,'R'!D:D,"not found")</f>
        <v>12190000000</v>
      </c>
      <c r="G69" s="87">
        <v>-13.710129999999999</v>
      </c>
      <c r="H69" s="88">
        <v>44.328499999999998</v>
      </c>
      <c r="I69" s="97">
        <v>10.59822</v>
      </c>
      <c r="J69" s="97">
        <v>15.897690000000001</v>
      </c>
      <c r="K69" s="104">
        <v>12.51681</v>
      </c>
      <c r="N69" s="4">
        <f>'R'!E67</f>
        <v>1.4057788003021443E-3</v>
      </c>
      <c r="O69" s="66">
        <f>N69*Table225[[#This Row],[2020]]</f>
        <v>-1.9273410103386436E-2</v>
      </c>
      <c r="P69" s="3">
        <f>N69*Table225[[#This Row],[2019]]</f>
        <v>6.2316065549193604E-2</v>
      </c>
      <c r="Q69" s="4">
        <f>N69*Table225[[#This Row],[2018]]</f>
        <v>1.4898752996938191E-2</v>
      </c>
      <c r="R69" s="4">
        <f>N69*Table225[[#This Row],[2017]]</f>
        <v>2.2348635575775398E-2</v>
      </c>
      <c r="S69" s="47">
        <f>N69*Table225[[#This Row],[2016]]</f>
        <v>1.7595866145409884E-2</v>
      </c>
      <c r="V69" s="4">
        <f t="shared" ref="V69:V132" si="2">1/275</f>
        <v>3.6363636363636364E-3</v>
      </c>
      <c r="W69" s="66">
        <f>V69*Table225[[#This Row],[2020]]</f>
        <v>-4.985501818181818E-2</v>
      </c>
      <c r="X69" s="3">
        <f>V69*Table225[[#This Row],[2019]]</f>
        <v>0.16119454545454545</v>
      </c>
      <c r="Y69" s="4">
        <f>V69*Table225[[#This Row],[2018]]</f>
        <v>3.8538981818181814E-2</v>
      </c>
      <c r="Z69" s="4">
        <f>V69*Table225[[#This Row],[2017]]</f>
        <v>5.7809781818181818E-2</v>
      </c>
      <c r="AA69" s="47">
        <f>V69*Table225[[#This Row],[2016]]</f>
        <v>4.5515672727272728E-2</v>
      </c>
    </row>
    <row r="70" spans="1:27" x14ac:dyDescent="0.35">
      <c r="A70" s="83" t="s">
        <v>506</v>
      </c>
      <c r="B70" s="84" t="s">
        <v>990</v>
      </c>
      <c r="C70" s="84" t="str">
        <f>Table225[[#This Row],[Ticker]]&amp; ( "US EQUITY")</f>
        <v>XELUS EQUITY</v>
      </c>
      <c r="D70" s="85">
        <v>0.45036971183323116</v>
      </c>
      <c r="E70" s="85">
        <v>0.54963028816676884</v>
      </c>
      <c r="F70" s="86">
        <f>_xlfn.XLOOKUP(Table225[[#This Row],[Ticker]],'R'!B:B,'R'!D:D,"not found")</f>
        <v>18230000000</v>
      </c>
      <c r="G70" s="87">
        <v>7.828557</v>
      </c>
      <c r="H70" s="88">
        <v>32.361319999999999</v>
      </c>
      <c r="I70" s="97">
        <v>5.8427689999999997</v>
      </c>
      <c r="J70" s="97">
        <v>21.894110000000001</v>
      </c>
      <c r="K70" s="104">
        <v>17.137239999999998</v>
      </c>
      <c r="N70" s="4">
        <f>'R'!E68</f>
        <v>2.1023254741187936E-3</v>
      </c>
      <c r="O70" s="66">
        <f>N70*Table225[[#This Row],[2020]]</f>
        <v>1.6458174806691001E-2</v>
      </c>
      <c r="P70" s="3">
        <f>N70*Table225[[#This Row],[2019]]</f>
        <v>6.8034027412109996E-2</v>
      </c>
      <c r="Q70" s="4">
        <f>N70*Table225[[#This Row],[2018]]</f>
        <v>1.2283402108091588E-2</v>
      </c>
      <c r="R70" s="4">
        <f>N70*Table225[[#This Row],[2017]]</f>
        <v>4.6028545186159023E-2</v>
      </c>
      <c r="S70" s="47">
        <f>N70*Table225[[#This Row],[2016]]</f>
        <v>3.602805620808755E-2</v>
      </c>
      <c r="V70" s="4">
        <f t="shared" si="2"/>
        <v>3.6363636363636364E-3</v>
      </c>
      <c r="W70" s="66">
        <f>V70*Table225[[#This Row],[2020]]</f>
        <v>2.846748E-2</v>
      </c>
      <c r="X70" s="3">
        <f>V70*Table225[[#This Row],[2019]]</f>
        <v>0.11767752727272728</v>
      </c>
      <c r="Y70" s="4">
        <f>V70*Table225[[#This Row],[2018]]</f>
        <v>2.1246432727272727E-2</v>
      </c>
      <c r="Z70" s="4">
        <f>V70*Table225[[#This Row],[2017]]</f>
        <v>7.9614945454545463E-2</v>
      </c>
      <c r="AA70" s="47">
        <f>V70*Table225[[#This Row],[2016]]</f>
        <v>6.2317236363636355E-2</v>
      </c>
    </row>
    <row r="71" spans="1:27" x14ac:dyDescent="0.35">
      <c r="A71" s="83" t="s">
        <v>151</v>
      </c>
      <c r="B71" s="84" t="s">
        <v>655</v>
      </c>
      <c r="C71" s="84" t="str">
        <f>Table225[[#This Row],[Ticker]]&amp; ( "US EQUITY")</f>
        <v>CAHUS EQUITY</v>
      </c>
      <c r="D71" s="85">
        <v>0.35471536973956747</v>
      </c>
      <c r="E71" s="85">
        <v>0.64528463026043248</v>
      </c>
      <c r="F71" s="86">
        <f>_xlfn.XLOOKUP(Table225[[#This Row],[Ticker]],'R'!B:B,'R'!D:D,"not found")</f>
        <v>29370000000</v>
      </c>
      <c r="G71" s="87">
        <v>10.05678</v>
      </c>
      <c r="H71" s="88">
        <v>17.991040000000002</v>
      </c>
      <c r="I71" s="97">
        <v>-24.50432</v>
      </c>
      <c r="J71" s="97">
        <v>-12.64425</v>
      </c>
      <c r="K71" s="104">
        <v>-17.543379999999999</v>
      </c>
      <c r="N71" s="4">
        <f>'R'!E69</f>
        <v>3.3870158625819509E-3</v>
      </c>
      <c r="O71" s="66">
        <f>N71*Table225[[#This Row],[2020]]</f>
        <v>3.4062473386496914E-2</v>
      </c>
      <c r="P71" s="3">
        <f>N71*Table225[[#This Row],[2019]]</f>
        <v>6.0935937864346389E-2</v>
      </c>
      <c r="Q71" s="4">
        <f>N71*Table225[[#This Row],[2018]]</f>
        <v>-8.299652054178415E-2</v>
      </c>
      <c r="R71" s="4">
        <f>N71*Table225[[#This Row],[2017]]</f>
        <v>-4.2826275320451829E-2</v>
      </c>
      <c r="S71" s="47">
        <f>N71*Table225[[#This Row],[2016]]</f>
        <v>-5.9419706343302944E-2</v>
      </c>
      <c r="V71" s="4">
        <f t="shared" si="2"/>
        <v>3.6363636363636364E-3</v>
      </c>
      <c r="W71" s="66">
        <f>V71*Table225[[#This Row],[2020]]</f>
        <v>3.6570109090909089E-2</v>
      </c>
      <c r="X71" s="3">
        <f>V71*Table225[[#This Row],[2019]]</f>
        <v>6.5421963636363642E-2</v>
      </c>
      <c r="Y71" s="4">
        <f>V71*Table225[[#This Row],[2018]]</f>
        <v>-8.9106618181818184E-2</v>
      </c>
      <c r="Z71" s="4">
        <f>V71*Table225[[#This Row],[2017]]</f>
        <v>-4.5979090909090907E-2</v>
      </c>
      <c r="AA71" s="47">
        <f>V71*Table225[[#This Row],[2016]]</f>
        <v>-6.3794109090909087E-2</v>
      </c>
    </row>
    <row r="72" spans="1:27" x14ac:dyDescent="0.35">
      <c r="A72" s="83" t="s">
        <v>300</v>
      </c>
      <c r="B72" s="84" t="s">
        <v>797</v>
      </c>
      <c r="C72" s="84" t="str">
        <f>Table225[[#This Row],[Ticker]]&amp; ( "US EQUITY")</f>
        <v>JUS EQUITY</v>
      </c>
      <c r="D72" s="85">
        <v>0.47274622594252486</v>
      </c>
      <c r="E72" s="85">
        <v>0.5272537740574752</v>
      </c>
      <c r="F72" s="86">
        <f>_xlfn.XLOOKUP(Table225[[#This Row],[Ticker]],'R'!B:B,'R'!D:D,"not found")</f>
        <v>5160000000</v>
      </c>
      <c r="G72" s="87">
        <v>22.377839999999999</v>
      </c>
      <c r="H72" s="88">
        <v>54.992699999999999</v>
      </c>
      <c r="I72" s="97">
        <v>-10.57887</v>
      </c>
      <c r="J72" s="97">
        <v>16.979679999999998</v>
      </c>
      <c r="K72" s="104">
        <v>35.876049999999999</v>
      </c>
      <c r="N72" s="4">
        <f>'R'!E70</f>
        <v>5.9506305246587903E-4</v>
      </c>
      <c r="O72" s="66">
        <f>N72*Table225[[#This Row],[2020]]</f>
        <v>1.3316225777993046E-2</v>
      </c>
      <c r="P72" s="3">
        <f>N72*Table225[[#This Row],[2019]]</f>
        <v>3.2724123925340347E-2</v>
      </c>
      <c r="Q72" s="4">
        <f>N72*Table225[[#This Row],[2018]]</f>
        <v>-6.2950946738397134E-3</v>
      </c>
      <c r="R72" s="4">
        <f>N72*Table225[[#This Row],[2017]]</f>
        <v>1.0103980210693836E-2</v>
      </c>
      <c r="S72" s="47">
        <f>N72*Table225[[#This Row],[2016]]</f>
        <v>2.1348511823418501E-2</v>
      </c>
      <c r="V72" s="4">
        <f t="shared" si="2"/>
        <v>3.6363636363636364E-3</v>
      </c>
      <c r="W72" s="66">
        <f>V72*Table225[[#This Row],[2020]]</f>
        <v>8.1373963636363636E-2</v>
      </c>
      <c r="X72" s="3">
        <f>V72*Table225[[#This Row],[2019]]</f>
        <v>0.19997345454545454</v>
      </c>
      <c r="Y72" s="4">
        <f>V72*Table225[[#This Row],[2018]]</f>
        <v>-3.8468618181818182E-2</v>
      </c>
      <c r="Z72" s="4">
        <f>V72*Table225[[#This Row],[2017]]</f>
        <v>6.17442909090909E-2</v>
      </c>
      <c r="AA72" s="47">
        <f>V72*Table225[[#This Row],[2016]]</f>
        <v>0.13045836363636362</v>
      </c>
    </row>
    <row r="73" spans="1:27" x14ac:dyDescent="0.35">
      <c r="A73" s="83" t="s">
        <v>55</v>
      </c>
      <c r="B73" s="84" t="s">
        <v>563</v>
      </c>
      <c r="C73" s="84" t="str">
        <f>Table225[[#This Row],[Ticker]]&amp; ( "US EQUITY")</f>
        <v>UNMUS EQUITY</v>
      </c>
      <c r="D73" s="85">
        <v>0.4862754889721182</v>
      </c>
      <c r="E73" s="85">
        <v>0.51372451102788186</v>
      </c>
      <c r="F73" s="86">
        <f>_xlfn.XLOOKUP(Table225[[#This Row],[Ticker]],'R'!B:B,'R'!D:D,"not found")</f>
        <v>8020000000</v>
      </c>
      <c r="G73" s="87">
        <v>-16.317060000000001</v>
      </c>
      <c r="H73" s="88">
        <v>2.5992989999999998</v>
      </c>
      <c r="I73" s="97">
        <v>-45.229819999999997</v>
      </c>
      <c r="J73" s="97">
        <v>27.178229999999999</v>
      </c>
      <c r="K73" s="104">
        <v>35.130360000000003</v>
      </c>
      <c r="N73" s="4">
        <f>'R'!E71</f>
        <v>9.2488482185588169E-4</v>
      </c>
      <c r="O73" s="66">
        <f>N73*Table225[[#This Row],[2020]]</f>
        <v>-1.5091401131311735E-2</v>
      </c>
      <c r="P73" s="3">
        <f>N73*Table225[[#This Row],[2019]]</f>
        <v>2.4040521925651711E-3</v>
      </c>
      <c r="Q73" s="4">
        <f>N73*Table225[[#This Row],[2018]]</f>
        <v>-4.1832374013273589E-2</v>
      </c>
      <c r="R73" s="4">
        <f>N73*Table225[[#This Row],[2017]]</f>
        <v>2.513673241190818E-2</v>
      </c>
      <c r="S73" s="47">
        <f>N73*Table225[[#This Row],[2016]]</f>
        <v>3.2491536750332992E-2</v>
      </c>
      <c r="V73" s="4">
        <f t="shared" si="2"/>
        <v>3.6363636363636364E-3</v>
      </c>
      <c r="W73" s="66">
        <f>V73*Table225[[#This Row],[2020]]</f>
        <v>-5.9334763636363641E-2</v>
      </c>
      <c r="X73" s="3">
        <f>V73*Table225[[#This Row],[2019]]</f>
        <v>9.451996363636363E-3</v>
      </c>
      <c r="Y73" s="4">
        <f>V73*Table225[[#This Row],[2018]]</f>
        <v>-0.16447207272727271</v>
      </c>
      <c r="Z73" s="4">
        <f>V73*Table225[[#This Row],[2017]]</f>
        <v>9.8829927272727269E-2</v>
      </c>
      <c r="AA73" s="47">
        <f>V73*Table225[[#This Row],[2016]]</f>
        <v>0.12774676363636364</v>
      </c>
    </row>
    <row r="74" spans="1:27" x14ac:dyDescent="0.35">
      <c r="A74" s="83" t="s">
        <v>96</v>
      </c>
      <c r="B74" s="84" t="s">
        <v>600</v>
      </c>
      <c r="C74" s="84" t="str">
        <f>Table225[[#This Row],[Ticker]]&amp; ( "US EQUITY")</f>
        <v>ALLUS EQUITY</v>
      </c>
      <c r="D74" s="85">
        <v>0.41103346126944756</v>
      </c>
      <c r="E74" s="85">
        <v>0.58896653873055249</v>
      </c>
      <c r="F74" s="86">
        <f>_xlfn.XLOOKUP(Table225[[#This Row],[Ticker]],'R'!B:B,'R'!D:D,"not found")</f>
        <v>23660000000</v>
      </c>
      <c r="G74" s="87">
        <v>-0.11737939999999999</v>
      </c>
      <c r="H74" s="88">
        <v>38.815539999999999</v>
      </c>
      <c r="I74" s="97">
        <v>-19.521239999999999</v>
      </c>
      <c r="J74" s="97">
        <v>43.620840000000001</v>
      </c>
      <c r="K74" s="104">
        <v>21.707640000000001</v>
      </c>
      <c r="N74" s="4">
        <f>'R'!E72</f>
        <v>2.7285255467718408E-3</v>
      </c>
      <c r="O74" s="66">
        <f>N74*Table225[[#This Row],[2020]]</f>
        <v>-3.2027269156475059E-4</v>
      </c>
      <c r="P74" s="3">
        <f>N74*Table225[[#This Row],[2019]]</f>
        <v>0.10590919250174426</v>
      </c>
      <c r="Q74" s="4">
        <f>N74*Table225[[#This Row],[2018]]</f>
        <v>-5.3264202044664324E-2</v>
      </c>
      <c r="R74" s="4">
        <f>N74*Table225[[#This Row],[2017]]</f>
        <v>0.11902057631164699</v>
      </c>
      <c r="S74" s="47">
        <f>N74*Table225[[#This Row],[2016]]</f>
        <v>5.9229850300126285E-2</v>
      </c>
      <c r="V74" s="4">
        <f t="shared" si="2"/>
        <v>3.6363636363636364E-3</v>
      </c>
      <c r="W74" s="66">
        <f>V74*Table225[[#This Row],[2020]]</f>
        <v>-4.2683418181818178E-4</v>
      </c>
      <c r="X74" s="3">
        <f>V74*Table225[[#This Row],[2019]]</f>
        <v>0.14114741818181817</v>
      </c>
      <c r="Y74" s="4">
        <f>V74*Table225[[#This Row],[2018]]</f>
        <v>-7.0986327272727273E-2</v>
      </c>
      <c r="Z74" s="4">
        <f>V74*Table225[[#This Row],[2017]]</f>
        <v>0.15862123636363637</v>
      </c>
      <c r="AA74" s="47">
        <f>V74*Table225[[#This Row],[2016]]</f>
        <v>7.8936872727272733E-2</v>
      </c>
    </row>
    <row r="75" spans="1:27" x14ac:dyDescent="0.35">
      <c r="A75" s="83" t="s">
        <v>328</v>
      </c>
      <c r="B75" s="84" t="s">
        <v>825</v>
      </c>
      <c r="C75" s="84" t="str">
        <f>Table225[[#This Row],[Ticker]]&amp; ( "US EQUITY")</f>
        <v>LOWUS EQUITY</v>
      </c>
      <c r="D75" s="85">
        <v>0.26785213462445479</v>
      </c>
      <c r="E75" s="85">
        <v>0.73214786537554521</v>
      </c>
      <c r="F75" s="86">
        <f>_xlfn.XLOOKUP(Table225[[#This Row],[Ticker]],'R'!B:B,'R'!D:D,"not found")</f>
        <v>69580000000</v>
      </c>
      <c r="G75" s="87">
        <v>36.409779999999998</v>
      </c>
      <c r="H75" s="88">
        <v>32.242600000000003</v>
      </c>
      <c r="I75" s="97">
        <v>1.223624</v>
      </c>
      <c r="J75" s="97">
        <v>33.25403</v>
      </c>
      <c r="K75" s="104">
        <v>-4.8747179999999997</v>
      </c>
      <c r="N75" s="4">
        <f>'R'!E73</f>
        <v>8.0241254245302061E-3</v>
      </c>
      <c r="O75" s="66">
        <f>N75*Table225[[#This Row],[2020]]</f>
        <v>0.29215664139955139</v>
      </c>
      <c r="P75" s="3">
        <f>N75*Table225[[#This Row],[2019]]</f>
        <v>0.25871866641295765</v>
      </c>
      <c r="Q75" s="4">
        <f>N75*Table225[[#This Row],[2018]]</f>
        <v>9.8185124484653497E-3</v>
      </c>
      <c r="R75" s="4">
        <f>N75*Table225[[#This Row],[2017]]</f>
        <v>0.26683450759109023</v>
      </c>
      <c r="S75" s="47">
        <f>N75*Table225[[#This Row],[2016]]</f>
        <v>-3.9115348641215034E-2</v>
      </c>
      <c r="V75" s="4">
        <f t="shared" si="2"/>
        <v>3.6363636363636364E-3</v>
      </c>
      <c r="W75" s="66">
        <f>V75*Table225[[#This Row],[2020]]</f>
        <v>0.13239919999999999</v>
      </c>
      <c r="X75" s="3">
        <f>V75*Table225[[#This Row],[2019]]</f>
        <v>0.11724581818181819</v>
      </c>
      <c r="Y75" s="4">
        <f>V75*Table225[[#This Row],[2018]]</f>
        <v>4.4495418181818187E-3</v>
      </c>
      <c r="Z75" s="4">
        <f>V75*Table225[[#This Row],[2017]]</f>
        <v>0.12092374545454546</v>
      </c>
      <c r="AA75" s="47">
        <f>V75*Table225[[#This Row],[2016]]</f>
        <v>-1.7726247272727272E-2</v>
      </c>
    </row>
    <row r="76" spans="1:27" x14ac:dyDescent="0.35">
      <c r="A76" s="83" t="s">
        <v>303</v>
      </c>
      <c r="B76" s="84" t="s">
        <v>800</v>
      </c>
      <c r="C76" s="84" t="str">
        <f>Table225[[#This Row],[Ticker]]&amp; ( "US EQUITY")</f>
        <v>DEUS EQUITY</v>
      </c>
      <c r="D76" s="85">
        <v>0.27985580752884409</v>
      </c>
      <c r="E76" s="85">
        <v>0.72014419247115591</v>
      </c>
      <c r="F76" s="86">
        <f>_xlfn.XLOOKUP(Table225[[#This Row],[Ticker]],'R'!B:B,'R'!D:D,"not found")</f>
        <v>24120000000</v>
      </c>
      <c r="G76" s="87">
        <v>57.885550000000002</v>
      </c>
      <c r="H76" s="88">
        <v>18.295850000000002</v>
      </c>
      <c r="I76" s="97">
        <v>-2.8945979999999998</v>
      </c>
      <c r="J76" s="97">
        <v>54.80856</v>
      </c>
      <c r="K76" s="104">
        <v>38.888939999999998</v>
      </c>
      <c r="N76" s="4">
        <f>'R'!E74</f>
        <v>2.7815738033870161E-3</v>
      </c>
      <c r="O76" s="66">
        <f>N76*Table225[[#This Row],[2020]]</f>
        <v>0.16101292947464929</v>
      </c>
      <c r="P76" s="3">
        <f>N76*Table225[[#This Row],[2019]]</f>
        <v>5.0891257070698345E-2</v>
      </c>
      <c r="Q76" s="4">
        <f>N76*Table225[[#This Row],[2018]]</f>
        <v>-8.0515379681364487E-3</v>
      </c>
      <c r="R76" s="4">
        <f>N76*Table225[[#This Row],[2017]]</f>
        <v>0.15245405469736548</v>
      </c>
      <c r="S76" s="47">
        <f>N76*Table225[[#This Row],[2016]]</f>
        <v>0.10817245674548946</v>
      </c>
      <c r="V76" s="4">
        <f t="shared" si="2"/>
        <v>3.6363636363636364E-3</v>
      </c>
      <c r="W76" s="66">
        <f>V76*Table225[[#This Row],[2020]]</f>
        <v>0.21049290909090909</v>
      </c>
      <c r="X76" s="3">
        <f>V76*Table225[[#This Row],[2019]]</f>
        <v>6.6530363636363637E-2</v>
      </c>
      <c r="Y76" s="4">
        <f>V76*Table225[[#This Row],[2018]]</f>
        <v>-1.0525810909090908E-2</v>
      </c>
      <c r="Z76" s="4">
        <f>V76*Table225[[#This Row],[2017]]</f>
        <v>0.19930385454545455</v>
      </c>
      <c r="AA76" s="47">
        <f>V76*Table225[[#This Row],[2016]]</f>
        <v>0.14141432727272726</v>
      </c>
    </row>
    <row r="77" spans="1:27" x14ac:dyDescent="0.35">
      <c r="A77" s="83" t="s">
        <v>431</v>
      </c>
      <c r="B77" s="84" t="s">
        <v>924</v>
      </c>
      <c r="C77" s="84" t="str">
        <f>Table225[[#This Row],[Ticker]]&amp; ( "US EQUITY")</f>
        <v>LUVUS EQUITY</v>
      </c>
      <c r="D77" s="85">
        <v>0.39143749617198503</v>
      </c>
      <c r="E77" s="85">
        <v>0.60856250382801491</v>
      </c>
      <c r="F77" s="86">
        <f>_xlfn.XLOOKUP(Table225[[#This Row],[Ticker]],'R'!B:B,'R'!D:D,"not found")</f>
        <v>27890000000</v>
      </c>
      <c r="G77" s="87">
        <v>-13.309430000000001</v>
      </c>
      <c r="H77" s="88">
        <v>17.717700000000001</v>
      </c>
      <c r="I77" s="97">
        <v>-28.203690000000002</v>
      </c>
      <c r="J77" s="97">
        <v>32.399520000000003</v>
      </c>
      <c r="K77" s="104">
        <v>16.79</v>
      </c>
      <c r="N77" s="4">
        <f>'R'!E75</f>
        <v>3.216338863037474E-3</v>
      </c>
      <c r="O77" s="66">
        <f>N77*Table225[[#This Row],[2020]]</f>
        <v>-4.2807636953876849E-2</v>
      </c>
      <c r="P77" s="3">
        <f>N77*Table225[[#This Row],[2019]]</f>
        <v>5.6986127073639058E-2</v>
      </c>
      <c r="Q77" s="4">
        <f>N77*Table225[[#This Row],[2018]]</f>
        <v>-9.0712624228061381E-2</v>
      </c>
      <c r="R77" s="4">
        <f>N77*Table225[[#This Row],[2017]]</f>
        <v>0.10420783531975991</v>
      </c>
      <c r="S77" s="47">
        <f>N77*Table225[[#This Row],[2016]]</f>
        <v>5.4002329510399183E-2</v>
      </c>
      <c r="V77" s="4">
        <f t="shared" si="2"/>
        <v>3.6363636363636364E-3</v>
      </c>
      <c r="W77" s="66">
        <f>V77*Table225[[#This Row],[2020]]</f>
        <v>-4.8397927272727279E-2</v>
      </c>
      <c r="X77" s="3">
        <f>V77*Table225[[#This Row],[2019]]</f>
        <v>6.4427999999999999E-2</v>
      </c>
      <c r="Y77" s="4">
        <f>V77*Table225[[#This Row],[2018]]</f>
        <v>-0.10255887272727274</v>
      </c>
      <c r="Z77" s="4">
        <f>V77*Table225[[#This Row],[2017]]</f>
        <v>0.11781643636363637</v>
      </c>
      <c r="AA77" s="47">
        <f>V77*Table225[[#This Row],[2016]]</f>
        <v>6.1054545454545452E-2</v>
      </c>
    </row>
    <row r="78" spans="1:27" x14ac:dyDescent="0.35">
      <c r="A78" s="83" t="s">
        <v>54</v>
      </c>
      <c r="B78" s="84" t="s">
        <v>562</v>
      </c>
      <c r="C78" s="84" t="str">
        <f>Table225[[#This Row],[Ticker]]&amp; ( "US EQUITY")</f>
        <v>HCAUS EQUITY</v>
      </c>
      <c r="D78" s="85">
        <v>0.46483037292453205</v>
      </c>
      <c r="E78" s="85">
        <v>0.53516962707546789</v>
      </c>
      <c r="F78" s="86">
        <f>_xlfn.XLOOKUP(Table225[[#This Row],[Ticker]],'R'!B:B,'R'!D:D,"not found")</f>
        <v>26970000000</v>
      </c>
      <c r="G78" s="87">
        <v>11.641159999999999</v>
      </c>
      <c r="H78" s="88">
        <v>20.249749999999999</v>
      </c>
      <c r="I78" s="97">
        <v>43.380119999999998</v>
      </c>
      <c r="J78" s="97">
        <v>18.670629999999999</v>
      </c>
      <c r="K78" s="104">
        <v>9.4484689999999993</v>
      </c>
      <c r="N78" s="4">
        <f>'R'!E76</f>
        <v>3.1102423498071234E-3</v>
      </c>
      <c r="O78" s="66">
        <f>N78*Table225[[#This Row],[2020]]</f>
        <v>3.6206828832880691E-2</v>
      </c>
      <c r="P78" s="3">
        <f>N78*Table225[[#This Row],[2019]]</f>
        <v>6.2981630023006788E-2</v>
      </c>
      <c r="Q78" s="4">
        <f>N78*Table225[[#This Row],[2018]]</f>
        <v>0.13492268636371499</v>
      </c>
      <c r="R78" s="4">
        <f>N78*Table225[[#This Row],[2017]]</f>
        <v>5.8070184123579373E-2</v>
      </c>
      <c r="S78" s="47">
        <f>N78*Table225[[#This Row],[2016]]</f>
        <v>2.938702842463976E-2</v>
      </c>
      <c r="V78" s="4">
        <f t="shared" si="2"/>
        <v>3.6363636363636364E-3</v>
      </c>
      <c r="W78" s="66">
        <f>V78*Table225[[#This Row],[2020]]</f>
        <v>4.2331490909090906E-2</v>
      </c>
      <c r="X78" s="3">
        <f>V78*Table225[[#This Row],[2019]]</f>
        <v>7.3635454545454546E-2</v>
      </c>
      <c r="Y78" s="4">
        <f>V78*Table225[[#This Row],[2018]]</f>
        <v>0.15774589090909091</v>
      </c>
      <c r="Z78" s="4">
        <f>V78*Table225[[#This Row],[2017]]</f>
        <v>6.7893200000000001E-2</v>
      </c>
      <c r="AA78" s="47">
        <f>V78*Table225[[#This Row],[2016]]</f>
        <v>3.4358069090909091E-2</v>
      </c>
    </row>
    <row r="79" spans="1:27" x14ac:dyDescent="0.35">
      <c r="A79" s="83" t="s">
        <v>218</v>
      </c>
      <c r="B79" s="84" t="s">
        <v>719</v>
      </c>
      <c r="C79" s="84" t="str">
        <f>Table225[[#This Row],[Ticker]]&amp; ( "US EQUITY")</f>
        <v>ECLUS EQUITY</v>
      </c>
      <c r="D79" s="85">
        <v>0.4241416353344627</v>
      </c>
      <c r="E79" s="85">
        <v>0.5758583646655373</v>
      </c>
      <c r="F79" s="86">
        <f>_xlfn.XLOOKUP(Table225[[#This Row],[Ticker]],'R'!B:B,'R'!D:D,"not found")</f>
        <v>33860000000</v>
      </c>
      <c r="G79" s="87">
        <v>13.19933</v>
      </c>
      <c r="H79" s="88">
        <v>32.283700000000003</v>
      </c>
      <c r="I79" s="97">
        <v>11.086980000000001</v>
      </c>
      <c r="J79" s="97">
        <v>15.797370000000001</v>
      </c>
      <c r="K79" s="104">
        <v>3.7494299999999998</v>
      </c>
      <c r="N79" s="4">
        <f>'R'!E77</f>
        <v>3.9048129760648571E-3</v>
      </c>
      <c r="O79" s="66">
        <f>N79*Table225[[#This Row],[2020]]</f>
        <v>5.1540915059362147E-2</v>
      </c>
      <c r="P79" s="3">
        <f>N79*Table225[[#This Row],[2019]]</f>
        <v>0.12606181067538505</v>
      </c>
      <c r="Q79" s="4">
        <f>N79*Table225[[#This Row],[2018]]</f>
        <v>4.329258336937155E-2</v>
      </c>
      <c r="R79" s="4">
        <f>N79*Table225[[#This Row],[2017]]</f>
        <v>6.1685775363697695E-2</v>
      </c>
      <c r="S79" s="47">
        <f>N79*Table225[[#This Row],[2016]]</f>
        <v>1.4640822916846857E-2</v>
      </c>
      <c r="V79" s="4">
        <f t="shared" si="2"/>
        <v>3.6363636363636364E-3</v>
      </c>
      <c r="W79" s="66">
        <f>V79*Table225[[#This Row],[2020]]</f>
        <v>4.7997563636363635E-2</v>
      </c>
      <c r="X79" s="3">
        <f>V79*Table225[[#This Row],[2019]]</f>
        <v>0.11739527272727274</v>
      </c>
      <c r="Y79" s="4">
        <f>V79*Table225[[#This Row],[2018]]</f>
        <v>4.0316290909090911E-2</v>
      </c>
      <c r="Z79" s="4">
        <f>V79*Table225[[#This Row],[2017]]</f>
        <v>5.744498181818182E-2</v>
      </c>
      <c r="AA79" s="47">
        <f>V79*Table225[[#This Row],[2016]]</f>
        <v>1.3634290909090909E-2</v>
      </c>
    </row>
    <row r="80" spans="1:27" x14ac:dyDescent="0.35">
      <c r="A80" s="83" t="s">
        <v>419</v>
      </c>
      <c r="B80" s="84" t="s">
        <v>914</v>
      </c>
      <c r="C80" s="84" t="str">
        <f>Table225[[#This Row],[Ticker]]&amp; ( "US EQUITY")</f>
        <v>SPGIUS EQUITY</v>
      </c>
      <c r="D80" s="85">
        <v>0.40615649867374004</v>
      </c>
      <c r="E80" s="85">
        <v>0.59384350132625996</v>
      </c>
      <c r="F80" s="86">
        <f>_xlfn.XLOOKUP(Table225[[#This Row],[Ticker]],'R'!B:B,'R'!D:D,"not found")</f>
        <v>26220000000</v>
      </c>
      <c r="G80" s="87">
        <v>21.405049999999999</v>
      </c>
      <c r="H80" s="88">
        <v>62.261189999999999</v>
      </c>
      <c r="I80" s="97">
        <v>1.3638140000000001</v>
      </c>
      <c r="J80" s="97">
        <v>59.306350000000002</v>
      </c>
      <c r="K80" s="104">
        <v>10.54978</v>
      </c>
      <c r="N80" s="4">
        <f>'R'!E78</f>
        <v>3.0237506270649897E-3</v>
      </c>
      <c r="O80" s="66">
        <f>N80*Table225[[#This Row],[2020]]</f>
        <v>6.4723533359857463E-2</v>
      </c>
      <c r="P80" s="3">
        <f>N80*Table225[[#This Row],[2019]]</f>
        <v>0.18826231230431248</v>
      </c>
      <c r="Q80" s="4">
        <f>N80*Table225[[#This Row],[2018]]</f>
        <v>4.123833437700012E-3</v>
      </c>
      <c r="R80" s="4">
        <f>N80*Table225[[#This Row],[2017]]</f>
        <v>0.17932761300143576</v>
      </c>
      <c r="S80" s="47">
        <f>N80*Table225[[#This Row],[2016]]</f>
        <v>3.1899903890397686E-2</v>
      </c>
      <c r="V80" s="4">
        <f t="shared" si="2"/>
        <v>3.6363636363636364E-3</v>
      </c>
      <c r="W80" s="66">
        <f>V80*Table225[[#This Row],[2020]]</f>
        <v>7.783654545454545E-2</v>
      </c>
      <c r="X80" s="3">
        <f>V80*Table225[[#This Row],[2019]]</f>
        <v>0.22640432727272727</v>
      </c>
      <c r="Y80" s="4">
        <f>V80*Table225[[#This Row],[2018]]</f>
        <v>4.959323636363637E-3</v>
      </c>
      <c r="Z80" s="4">
        <f>V80*Table225[[#This Row],[2017]]</f>
        <v>0.21565945454545454</v>
      </c>
      <c r="AA80" s="47">
        <f>V80*Table225[[#This Row],[2016]]</f>
        <v>3.8362836363636361E-2</v>
      </c>
    </row>
    <row r="81" spans="1:27" x14ac:dyDescent="0.35">
      <c r="A81" s="83" t="s">
        <v>459</v>
      </c>
      <c r="B81" s="84" t="s">
        <v>947</v>
      </c>
      <c r="C81" s="84" t="str">
        <f>Table225[[#This Row],[Ticker]]&amp; ( "US EQUITY")</f>
        <v>TRVUS EQUITY</v>
      </c>
      <c r="D81" s="85">
        <v>0.31247763223361369</v>
      </c>
      <c r="E81" s="85">
        <v>0.68752236776638631</v>
      </c>
      <c r="F81" s="86">
        <f>_xlfn.XLOOKUP(Table225[[#This Row],[Ticker]],'R'!B:B,'R'!D:D,"not found")</f>
        <v>33400000000</v>
      </c>
      <c r="G81" s="87">
        <v>5.3571340000000003</v>
      </c>
      <c r="H81" s="88">
        <v>17.005849999999999</v>
      </c>
      <c r="I81" s="97">
        <v>-9.6452179999999998</v>
      </c>
      <c r="J81" s="97">
        <v>13.36824</v>
      </c>
      <c r="K81" s="104">
        <v>10.953200000000001</v>
      </c>
      <c r="N81" s="4">
        <f>'R'!E79</f>
        <v>3.8517647194496818E-3</v>
      </c>
      <c r="O81" s="66">
        <f>N81*Table225[[#This Row],[2020]]</f>
        <v>2.0634419738564353E-2</v>
      </c>
      <c r="P81" s="3">
        <f>N81*Table225[[#This Row],[2019]]</f>
        <v>6.5502533054253367E-2</v>
      </c>
      <c r="Q81" s="4">
        <f>N81*Table225[[#This Row],[2018]]</f>
        <v>-3.7151110403801021E-2</v>
      </c>
      <c r="R81" s="4">
        <f>N81*Table225[[#This Row],[2017]]</f>
        <v>5.1491315193136017E-2</v>
      </c>
      <c r="S81" s="47">
        <f>N81*Table225[[#This Row],[2016]]</f>
        <v>4.218914932507626E-2</v>
      </c>
      <c r="V81" s="4">
        <f t="shared" si="2"/>
        <v>3.6363636363636364E-3</v>
      </c>
      <c r="W81" s="66">
        <f>V81*Table225[[#This Row],[2020]]</f>
        <v>1.9480487272727273E-2</v>
      </c>
      <c r="X81" s="3">
        <f>V81*Table225[[#This Row],[2019]]</f>
        <v>6.1839454545454538E-2</v>
      </c>
      <c r="Y81" s="4">
        <f>V81*Table225[[#This Row],[2018]]</f>
        <v>-3.5073519999999997E-2</v>
      </c>
      <c r="Z81" s="4">
        <f>V81*Table225[[#This Row],[2017]]</f>
        <v>4.8611781818181821E-2</v>
      </c>
      <c r="AA81" s="47">
        <f>V81*Table225[[#This Row],[2016]]</f>
        <v>3.9829818181818182E-2</v>
      </c>
    </row>
    <row r="82" spans="1:27" x14ac:dyDescent="0.35">
      <c r="A82" s="83" t="s">
        <v>461</v>
      </c>
      <c r="B82" s="84" t="s">
        <v>949</v>
      </c>
      <c r="C82" s="84" t="str">
        <f>Table225[[#This Row],[Ticker]]&amp; ( "US EQUITY")</f>
        <v>TFCUS EQUITY</v>
      </c>
      <c r="D82" s="85">
        <v>0.18578190231535283</v>
      </c>
      <c r="E82" s="85">
        <v>0.81421809768464715</v>
      </c>
      <c r="F82" s="86">
        <f>_xlfn.XLOOKUP(Table225[[#This Row],[Ticker]],'R'!B:B,'R'!D:D,"not found")</f>
        <v>29500000000</v>
      </c>
      <c r="G82" s="87">
        <v>-11.13067</v>
      </c>
      <c r="H82" s="88">
        <v>34.51972</v>
      </c>
      <c r="I82" s="97">
        <v>-10.220829999999999</v>
      </c>
      <c r="J82" s="97">
        <v>8.6745979999999996</v>
      </c>
      <c r="K82" s="104">
        <v>28.473040000000001</v>
      </c>
      <c r="N82" s="4">
        <f>'R'!E80</f>
        <v>3.4020077611905874E-3</v>
      </c>
      <c r="O82" s="66">
        <f>N82*Table225[[#This Row],[2020]]</f>
        <v>-3.7866625727251239E-2</v>
      </c>
      <c r="P82" s="3">
        <f>N82*Table225[[#This Row],[2019]]</f>
        <v>0.11743635535412594</v>
      </c>
      <c r="Q82" s="4">
        <f>N82*Table225[[#This Row],[2018]]</f>
        <v>-3.477134298580959E-2</v>
      </c>
      <c r="R82" s="4">
        <f>N82*Table225[[#This Row],[2017]]</f>
        <v>2.9511049721208348E-2</v>
      </c>
      <c r="S82" s="47">
        <f>N82*Table225[[#This Row],[2016]]</f>
        <v>9.6865503064690051E-2</v>
      </c>
      <c r="V82" s="4">
        <f t="shared" si="2"/>
        <v>3.6363636363636364E-3</v>
      </c>
      <c r="W82" s="66">
        <f>V82*Table225[[#This Row],[2020]]</f>
        <v>-4.0475163636363637E-2</v>
      </c>
      <c r="X82" s="3">
        <f>V82*Table225[[#This Row],[2019]]</f>
        <v>0.12552625454545455</v>
      </c>
      <c r="Y82" s="4">
        <f>V82*Table225[[#This Row],[2018]]</f>
        <v>-3.7166654545454543E-2</v>
      </c>
      <c r="Z82" s="4">
        <f>V82*Table225[[#This Row],[2017]]</f>
        <v>3.1543992727272728E-2</v>
      </c>
      <c r="AA82" s="47">
        <f>V82*Table225[[#This Row],[2016]]</f>
        <v>0.10353832727272727</v>
      </c>
    </row>
    <row r="83" spans="1:27" x14ac:dyDescent="0.35">
      <c r="A83" s="83" t="s">
        <v>267</v>
      </c>
      <c r="B83" s="84" t="s">
        <v>765</v>
      </c>
      <c r="C83" s="84" t="str">
        <f>Table225[[#This Row],[Ticker]]&amp; ( "US EQUITY")</f>
        <v>HIGUS EQUITY</v>
      </c>
      <c r="D83" s="85">
        <v>0.47743194716085802</v>
      </c>
      <c r="E83" s="85">
        <v>0.52256805283914198</v>
      </c>
      <c r="F83" s="86">
        <f>_xlfn.XLOOKUP(Table225[[#This Row],[Ticker]],'R'!B:B,'R'!D:D,"not found")</f>
        <v>17460000000</v>
      </c>
      <c r="G83" s="87">
        <v>-16.924330000000001</v>
      </c>
      <c r="H83" s="88">
        <v>39.715609999999998</v>
      </c>
      <c r="I83" s="97">
        <v>-19.23986</v>
      </c>
      <c r="J83" s="97">
        <v>20.247450000000001</v>
      </c>
      <c r="K83" s="104">
        <v>11.79692</v>
      </c>
      <c r="N83" s="4">
        <f>'R'!E81</f>
        <v>2.0135273054368696E-3</v>
      </c>
      <c r="O83" s="66">
        <f>N83*Table225[[#This Row],[2020]]</f>
        <v>-3.4077600581224381E-2</v>
      </c>
      <c r="P83" s="3">
        <f>N83*Table225[[#This Row],[2019]]</f>
        <v>7.9968465187081589E-2</v>
      </c>
      <c r="Q83" s="4">
        <f>N83*Table225[[#This Row],[2018]]</f>
        <v>-3.873998346278261E-2</v>
      </c>
      <c r="R83" s="4">
        <f>N83*Table225[[#This Row],[2017]]</f>
        <v>4.0768793440467743E-2</v>
      </c>
      <c r="S83" s="47">
        <f>N83*Table225[[#This Row],[2016]]</f>
        <v>2.3753420540054315E-2</v>
      </c>
      <c r="V83" s="4">
        <f t="shared" si="2"/>
        <v>3.6363636363636364E-3</v>
      </c>
      <c r="W83" s="66">
        <f>V83*Table225[[#This Row],[2020]]</f>
        <v>-6.1543018181818183E-2</v>
      </c>
      <c r="X83" s="3">
        <f>V83*Table225[[#This Row],[2019]]</f>
        <v>0.1444204</v>
      </c>
      <c r="Y83" s="4">
        <f>V83*Table225[[#This Row],[2018]]</f>
        <v>-6.9963127272727271E-2</v>
      </c>
      <c r="Z83" s="4">
        <f>V83*Table225[[#This Row],[2017]]</f>
        <v>7.3627090909090906E-2</v>
      </c>
      <c r="AA83" s="47">
        <f>V83*Table225[[#This Row],[2016]]</f>
        <v>4.2897890909090908E-2</v>
      </c>
    </row>
    <row r="84" spans="1:27" x14ac:dyDescent="0.35">
      <c r="A84" s="83" t="s">
        <v>352</v>
      </c>
      <c r="B84" s="84" t="s">
        <v>849</v>
      </c>
      <c r="C84" s="84" t="str">
        <f>Table225[[#This Row],[Ticker]]&amp; ( "US EQUITY")</f>
        <v>MSIUS EQUITY</v>
      </c>
      <c r="D84" s="85">
        <v>0.32149076900073004</v>
      </c>
      <c r="E84" s="85">
        <v>0.67850923099926996</v>
      </c>
      <c r="F84" s="86">
        <f>_xlfn.XLOOKUP(Table225[[#This Row],[Ticker]],'R'!B:B,'R'!D:D,"not found")</f>
        <v>11930000000</v>
      </c>
      <c r="G84" s="87">
        <v>7.3903920000000003</v>
      </c>
      <c r="H84" s="88">
        <v>42.188009999999998</v>
      </c>
      <c r="I84" s="97">
        <v>29.632989999999999</v>
      </c>
      <c r="J84" s="97">
        <v>11.45147</v>
      </c>
      <c r="K84" s="104">
        <v>23.896229999999999</v>
      </c>
      <c r="N84" s="4">
        <f>'R'!E82</f>
        <v>1.3757950030848715E-3</v>
      </c>
      <c r="O84" s="66">
        <f>N84*Table225[[#This Row],[2020]]</f>
        <v>1.016766438443841E-2</v>
      </c>
      <c r="P84" s="3">
        <f>N84*Table225[[#This Row],[2019]]</f>
        <v>5.8042053348094591E-2</v>
      </c>
      <c r="Q84" s="4">
        <f>N84*Table225[[#This Row],[2018]]</f>
        <v>4.0768919568463964E-2</v>
      </c>
      <c r="R84" s="4">
        <f>N84*Table225[[#This Row],[2017]]</f>
        <v>1.5754875203976313E-2</v>
      </c>
      <c r="S84" s="47">
        <f>N84*Table225[[#This Row],[2016]]</f>
        <v>3.2876313826566798E-2</v>
      </c>
      <c r="V84" s="4">
        <f t="shared" si="2"/>
        <v>3.6363636363636364E-3</v>
      </c>
      <c r="W84" s="66">
        <f>V84*Table225[[#This Row],[2020]]</f>
        <v>2.687415272727273E-2</v>
      </c>
      <c r="X84" s="3">
        <f>V84*Table225[[#This Row],[2019]]</f>
        <v>0.15341094545454545</v>
      </c>
      <c r="Y84" s="4">
        <f>V84*Table225[[#This Row],[2018]]</f>
        <v>0.10775632727272727</v>
      </c>
      <c r="Z84" s="4">
        <f>V84*Table225[[#This Row],[2017]]</f>
        <v>4.1641709090909092E-2</v>
      </c>
      <c r="AA84" s="47">
        <f>V84*Table225[[#This Row],[2016]]</f>
        <v>8.6895381818181822E-2</v>
      </c>
    </row>
    <row r="85" spans="1:27" x14ac:dyDescent="0.35">
      <c r="A85" s="83" t="s">
        <v>143</v>
      </c>
      <c r="B85" s="84" t="s">
        <v>647</v>
      </c>
      <c r="C85" s="84" t="str">
        <f>Table225[[#This Row],[Ticker]]&amp; ( "US EQUITY")</f>
        <v>BSXUS EQUITY</v>
      </c>
      <c r="D85" s="85">
        <v>0.31764616313279354</v>
      </c>
      <c r="E85" s="85">
        <v>0.68235383686720652</v>
      </c>
      <c r="F85" s="86">
        <f>_xlfn.XLOOKUP(Table225[[#This Row],[Ticker]],'R'!B:B,'R'!D:D,"not found")</f>
        <v>24830000000</v>
      </c>
      <c r="G85" s="87">
        <v>-20.499780000000001</v>
      </c>
      <c r="H85" s="88">
        <v>27.956990000000001</v>
      </c>
      <c r="I85" s="97">
        <v>42.557459999999999</v>
      </c>
      <c r="J85" s="97">
        <v>14.60934</v>
      </c>
      <c r="K85" s="104">
        <v>17.299340000000001</v>
      </c>
      <c r="N85" s="4">
        <f>'R'!E83</f>
        <v>2.8634526342495689E-3</v>
      </c>
      <c r="O85" s="66">
        <f>N85*Table225[[#This Row],[2020]]</f>
        <v>-5.8700149042536634E-2</v>
      </c>
      <c r="P85" s="3">
        <f>N85*Table225[[#This Row],[2019]]</f>
        <v>8.0053516661188859E-2</v>
      </c>
      <c r="Q85" s="4">
        <f>N85*Table225[[#This Row],[2018]]</f>
        <v>0.12186127094397066</v>
      </c>
      <c r="R85" s="4">
        <f>N85*Table225[[#This Row],[2017]]</f>
        <v>4.1833153107647597E-2</v>
      </c>
      <c r="S85" s="47">
        <f>N85*Table225[[#This Row],[2016]]</f>
        <v>4.9535840693778942E-2</v>
      </c>
      <c r="V85" s="4">
        <f t="shared" si="2"/>
        <v>3.6363636363636364E-3</v>
      </c>
      <c r="W85" s="66">
        <f>V85*Table225[[#This Row],[2020]]</f>
        <v>-7.4544654545454545E-2</v>
      </c>
      <c r="X85" s="3">
        <f>V85*Table225[[#This Row],[2019]]</f>
        <v>0.10166178181818182</v>
      </c>
      <c r="Y85" s="4">
        <f>V85*Table225[[#This Row],[2018]]</f>
        <v>0.15475439999999999</v>
      </c>
      <c r="Z85" s="4">
        <f>V85*Table225[[#This Row],[2017]]</f>
        <v>5.3124872727272725E-2</v>
      </c>
      <c r="AA85" s="47">
        <f>V85*Table225[[#This Row],[2016]]</f>
        <v>6.2906690909090915E-2</v>
      </c>
    </row>
    <row r="86" spans="1:27" x14ac:dyDescent="0.35">
      <c r="A86" s="83" t="s">
        <v>451</v>
      </c>
      <c r="B86" s="84" t="s">
        <v>942</v>
      </c>
      <c r="C86" s="84" t="str">
        <f>Table225[[#This Row],[Ticker]]&amp; ( "US EQUITY")</f>
        <v>TXTUS EQUITY</v>
      </c>
      <c r="D86" s="85">
        <v>0.30428134556574926</v>
      </c>
      <c r="E86" s="85">
        <v>0.69571865443425074</v>
      </c>
      <c r="F86" s="86">
        <f>_xlfn.XLOOKUP(Table225[[#This Row],[Ticker]],'R'!B:B,'R'!D:D,"not found")</f>
        <v>11500000000</v>
      </c>
      <c r="G86" s="87">
        <v>8.6198569999999997</v>
      </c>
      <c r="H86" s="88">
        <v>-2.8640569999999999</v>
      </c>
      <c r="I86" s="97">
        <v>-18.624389999999998</v>
      </c>
      <c r="J86" s="97">
        <v>16.722519999999999</v>
      </c>
      <c r="K86" s="104">
        <v>15.82389</v>
      </c>
      <c r="N86" s="4">
        <f>'R'!E84</f>
        <v>1.3262064153793816E-3</v>
      </c>
      <c r="O86" s="66">
        <f>N86*Table225[[#This Row],[2020]]</f>
        <v>1.143170965305287E-2</v>
      </c>
      <c r="P86" s="3">
        <f>N86*Table225[[#This Row],[2019]]</f>
        <v>-3.7983307674122253E-3</v>
      </c>
      <c r="Q86" s="4">
        <f>N86*Table225[[#This Row],[2018]]</f>
        <v>-2.46997855005276E-2</v>
      </c>
      <c r="R86" s="4">
        <f>N86*Table225[[#This Row],[2017]]</f>
        <v>2.2177513305310016E-2</v>
      </c>
      <c r="S86" s="47">
        <f>N86*Table225[[#This Row],[2016]]</f>
        <v>2.0985744434257644E-2</v>
      </c>
      <c r="V86" s="4">
        <f t="shared" si="2"/>
        <v>3.6363636363636364E-3</v>
      </c>
      <c r="W86" s="66">
        <f>V86*Table225[[#This Row],[2020]]</f>
        <v>3.1344934545454547E-2</v>
      </c>
      <c r="X86" s="3">
        <f>V86*Table225[[#This Row],[2019]]</f>
        <v>-1.0414752727272727E-2</v>
      </c>
      <c r="Y86" s="4">
        <f>V86*Table225[[#This Row],[2018]]</f>
        <v>-6.7725054545454536E-2</v>
      </c>
      <c r="Z86" s="4">
        <f>V86*Table225[[#This Row],[2017]]</f>
        <v>6.0809163636363635E-2</v>
      </c>
      <c r="AA86" s="47">
        <f>V86*Table225[[#This Row],[2016]]</f>
        <v>5.7541418181818182E-2</v>
      </c>
    </row>
    <row r="87" spans="1:27" x14ac:dyDescent="0.35">
      <c r="A87" s="83" t="s">
        <v>166</v>
      </c>
      <c r="B87" s="84" t="s">
        <v>670</v>
      </c>
      <c r="C87" s="84" t="str">
        <f>Table225[[#This Row],[Ticker]]&amp; ( "US EQUITY")</f>
        <v>CBUS EQUITY</v>
      </c>
      <c r="D87" s="85">
        <v>0.42963184266188226</v>
      </c>
      <c r="E87" s="85">
        <v>0.57036815733811774</v>
      </c>
      <c r="F87" s="86">
        <f>_xlfn.XLOOKUP(Table225[[#This Row],[Ticker]],'R'!B:B,'R'!D:D,"not found")</f>
        <v>37930000000</v>
      </c>
      <c r="G87" s="87">
        <v>1.41536</v>
      </c>
      <c r="H87" s="88">
        <v>22.922779999999999</v>
      </c>
      <c r="I87" s="97">
        <v>-9.6322120000000009</v>
      </c>
      <c r="J87" s="97">
        <v>12.80818</v>
      </c>
      <c r="K87" s="104">
        <v>15.556800000000001</v>
      </c>
      <c r="N87" s="4">
        <f>'R'!E85</f>
        <v>4.3741747248121684E-3</v>
      </c>
      <c r="O87" s="66">
        <f>N87*Table225[[#This Row],[2020]]</f>
        <v>6.1910319385101503E-3</v>
      </c>
      <c r="P87" s="3">
        <f>N87*Table225[[#This Row],[2019]]</f>
        <v>0.10026824489842988</v>
      </c>
      <c r="Q87" s="4">
        <f>N87*Table225[[#This Row],[2018]]</f>
        <v>-4.2132978274432471E-2</v>
      </c>
      <c r="R87" s="4">
        <f>N87*Table225[[#This Row],[2017]]</f>
        <v>5.6025217226844719E-2</v>
      </c>
      <c r="S87" s="47">
        <f>N87*Table225[[#This Row],[2016]]</f>
        <v>6.8048161358957943E-2</v>
      </c>
      <c r="V87" s="4">
        <f t="shared" si="2"/>
        <v>3.6363636363636364E-3</v>
      </c>
      <c r="W87" s="66">
        <f>V87*Table225[[#This Row],[2020]]</f>
        <v>5.1467636363636358E-3</v>
      </c>
      <c r="X87" s="3">
        <f>V87*Table225[[#This Row],[2019]]</f>
        <v>8.3355563636363636E-2</v>
      </c>
      <c r="Y87" s="4">
        <f>V87*Table225[[#This Row],[2018]]</f>
        <v>-3.5026225454545458E-2</v>
      </c>
      <c r="Z87" s="4">
        <f>V87*Table225[[#This Row],[2017]]</f>
        <v>4.6575199999999997E-2</v>
      </c>
      <c r="AA87" s="47">
        <f>V87*Table225[[#This Row],[2016]]</f>
        <v>5.6570181818181818E-2</v>
      </c>
    </row>
    <row r="88" spans="1:27" x14ac:dyDescent="0.35">
      <c r="A88" s="83" t="s">
        <v>155</v>
      </c>
      <c r="B88" s="84" t="s">
        <v>659</v>
      </c>
      <c r="C88" s="84" t="str">
        <f>Table225[[#This Row],[Ticker]]&amp; ( "US EQUITY")</f>
        <v>CBOEUS EQUITY</v>
      </c>
      <c r="D88" s="85">
        <v>0.42760666395774077</v>
      </c>
      <c r="E88" s="85">
        <v>0.57239333604225928</v>
      </c>
      <c r="F88" s="86">
        <f>_xlfn.XLOOKUP(Table225[[#This Row],[Ticker]],'R'!B:B,'R'!D:D,"not found")</f>
        <v>5330000000</v>
      </c>
      <c r="G88" s="87">
        <v>-21.167470000000002</v>
      </c>
      <c r="H88" s="88">
        <v>24.162479999999999</v>
      </c>
      <c r="I88" s="97">
        <v>-20.597370000000002</v>
      </c>
      <c r="J88" s="97">
        <v>70.465549999999993</v>
      </c>
      <c r="K88" s="104">
        <v>15.518560000000001</v>
      </c>
      <c r="N88" s="4">
        <f>'R'!E86</f>
        <v>6.1466784295409601E-4</v>
      </c>
      <c r="O88" s="66">
        <f>N88*Table225[[#This Row],[2020]]</f>
        <v>-1.3010963125695539E-2</v>
      </c>
      <c r="P88" s="3">
        <f>N88*Table225[[#This Row],[2019]]</f>
        <v>1.4851899462021485E-2</v>
      </c>
      <c r="Q88" s="4">
        <f>N88*Table225[[#This Row],[2018]]</f>
        <v>-1.2660540988427409E-2</v>
      </c>
      <c r="R88" s="4">
        <f>N88*Table225[[#This Row],[2017]]</f>
        <v>4.3312907621073996E-2</v>
      </c>
      <c r="S88" s="47">
        <f>N88*Table225[[#This Row],[2016]]</f>
        <v>9.5387598009537174E-3</v>
      </c>
      <c r="V88" s="4">
        <f t="shared" si="2"/>
        <v>3.6363636363636364E-3</v>
      </c>
      <c r="W88" s="66">
        <f>V88*Table225[[#This Row],[2020]]</f>
        <v>-7.6972618181818192E-2</v>
      </c>
      <c r="X88" s="3">
        <f>V88*Table225[[#This Row],[2019]]</f>
        <v>8.7863563636363634E-2</v>
      </c>
      <c r="Y88" s="4">
        <f>V88*Table225[[#This Row],[2018]]</f>
        <v>-7.4899527272727279E-2</v>
      </c>
      <c r="Z88" s="4">
        <f>V88*Table225[[#This Row],[2017]]</f>
        <v>0.2562383636363636</v>
      </c>
      <c r="AA88" s="47">
        <f>V88*Table225[[#This Row],[2016]]</f>
        <v>5.6431127272727276E-2</v>
      </c>
    </row>
    <row r="89" spans="1:27" x14ac:dyDescent="0.35">
      <c r="A89" s="83" t="s">
        <v>220</v>
      </c>
      <c r="B89" s="84" t="s">
        <v>721</v>
      </c>
      <c r="C89" s="84" t="str">
        <f>Table225[[#This Row],[Ticker]]&amp; ( "US EQUITY")</f>
        <v>EWUS EQUITY</v>
      </c>
      <c r="D89" s="85">
        <v>0.4886852545119294</v>
      </c>
      <c r="E89" s="85">
        <v>0.51131474548807065</v>
      </c>
      <c r="F89" s="86">
        <f>_xlfn.XLOOKUP(Table225[[#This Row],[Ticker]],'R'!B:B,'R'!D:D,"not found")</f>
        <v>17010000000.000002</v>
      </c>
      <c r="G89" s="87">
        <v>17.317509999999999</v>
      </c>
      <c r="H89" s="88">
        <v>52.30789</v>
      </c>
      <c r="I89" s="97">
        <v>35.897419999999997</v>
      </c>
      <c r="J89" s="97">
        <v>20.288160000000001</v>
      </c>
      <c r="K89" s="104">
        <v>18.637650000000001</v>
      </c>
      <c r="N89" s="4">
        <f>'R'!E87</f>
        <v>1.9616322717915897E-3</v>
      </c>
      <c r="O89" s="66">
        <f>N89*Table225[[#This Row],[2020]]</f>
        <v>3.3970586483073571E-2</v>
      </c>
      <c r="P89" s="3">
        <f>N89*Table225[[#This Row],[2019]]</f>
        <v>0.10260884509332457</v>
      </c>
      <c r="Q89" s="4">
        <f>N89*Table225[[#This Row],[2018]]</f>
        <v>7.0417537546056841E-2</v>
      </c>
      <c r="R89" s="4">
        <f>N89*Table225[[#This Row],[2017]]</f>
        <v>3.9797909391271265E-2</v>
      </c>
      <c r="S89" s="47">
        <f>N89*Table225[[#This Row],[2016]]</f>
        <v>3.6560215710356524E-2</v>
      </c>
      <c r="V89" s="4">
        <f t="shared" si="2"/>
        <v>3.6363636363636364E-3</v>
      </c>
      <c r="W89" s="66">
        <f>V89*Table225[[#This Row],[2020]]</f>
        <v>6.297276363636363E-2</v>
      </c>
      <c r="X89" s="3">
        <f>V89*Table225[[#This Row],[2019]]</f>
        <v>0.19021050909090909</v>
      </c>
      <c r="Y89" s="4">
        <f>V89*Table225[[#This Row],[2018]]</f>
        <v>0.13053607272727272</v>
      </c>
      <c r="Z89" s="4">
        <f>V89*Table225[[#This Row],[2017]]</f>
        <v>7.3775127272727281E-2</v>
      </c>
      <c r="AA89" s="47">
        <f>V89*Table225[[#This Row],[2016]]</f>
        <v>6.7773272727272724E-2</v>
      </c>
    </row>
    <row r="90" spans="1:27" x14ac:dyDescent="0.35">
      <c r="A90" s="83" t="s">
        <v>438</v>
      </c>
      <c r="B90" s="84" t="s">
        <v>931</v>
      </c>
      <c r="C90" s="84" t="str">
        <f>Table225[[#This Row],[Ticker]]&amp; ( "US EQUITY")</f>
        <v>SYFUS EQUITY</v>
      </c>
      <c r="D90" s="85">
        <v>0.47970008331019159</v>
      </c>
      <c r="E90" s="85">
        <v>0.52029991668980835</v>
      </c>
      <c r="F90" s="86">
        <f>_xlfn.XLOOKUP(Table225[[#This Row],[Ticker]],'R'!B:B,'R'!D:D,"not found")</f>
        <v>25360000000</v>
      </c>
      <c r="G90" s="87">
        <v>2.9993059999999998E-2</v>
      </c>
      <c r="H90" s="88">
        <v>57.465600000000002</v>
      </c>
      <c r="I90" s="97">
        <v>-37.801099999999998</v>
      </c>
      <c r="J90" s="97">
        <v>8.3545920000000002</v>
      </c>
      <c r="K90" s="104">
        <v>20.384540000000001</v>
      </c>
      <c r="N90" s="4">
        <f>'R'!E88</f>
        <v>2.92457345165401E-3</v>
      </c>
      <c r="O90" s="66">
        <f>N90*Table225[[#This Row],[2020]]</f>
        <v>8.7716907009865812E-5</v>
      </c>
      <c r="P90" s="3">
        <f>N90*Table225[[#This Row],[2019]]</f>
        <v>0.16806236814336867</v>
      </c>
      <c r="Q90" s="4">
        <f>N90*Table225[[#This Row],[2018]]</f>
        <v>-0.11055209350331839</v>
      </c>
      <c r="R90" s="4">
        <f>N90*Table225[[#This Row],[2017]]</f>
        <v>2.4433617962600979E-2</v>
      </c>
      <c r="S90" s="47">
        <f>N90*Table225[[#This Row],[2016]]</f>
        <v>5.9616084508179235E-2</v>
      </c>
      <c r="V90" s="4">
        <f t="shared" si="2"/>
        <v>3.6363636363636364E-3</v>
      </c>
      <c r="W90" s="66">
        <f>V90*Table225[[#This Row],[2020]]</f>
        <v>1.0906567272727272E-4</v>
      </c>
      <c r="X90" s="3">
        <f>V90*Table225[[#This Row],[2019]]</f>
        <v>0.2089658181818182</v>
      </c>
      <c r="Y90" s="4">
        <f>V90*Table225[[#This Row],[2018]]</f>
        <v>-0.13745854545454544</v>
      </c>
      <c r="Z90" s="4">
        <f>V90*Table225[[#This Row],[2017]]</f>
        <v>3.0380334545454548E-2</v>
      </c>
      <c r="AA90" s="47">
        <f>V90*Table225[[#This Row],[2016]]</f>
        <v>7.41256E-2</v>
      </c>
    </row>
    <row r="91" spans="1:27" x14ac:dyDescent="0.35">
      <c r="A91" s="83" t="s">
        <v>499</v>
      </c>
      <c r="B91" s="84" t="s">
        <v>983</v>
      </c>
      <c r="C91" s="84" t="str">
        <f>Table225[[#This Row],[Ticker]]&amp; ( "US EQUITY")</f>
        <v>WYUS EQUITY</v>
      </c>
      <c r="D91" s="85">
        <v>0.36179507688630447</v>
      </c>
      <c r="E91" s="85">
        <v>0.63820492311369559</v>
      </c>
      <c r="F91" s="86">
        <f>_xlfn.XLOOKUP(Table225[[#This Row],[Ticker]],'R'!B:B,'R'!D:D,"not found")</f>
        <v>15300000000</v>
      </c>
      <c r="G91" s="87">
        <v>13.074769999999999</v>
      </c>
      <c r="H91" s="88">
        <v>45.590130000000002</v>
      </c>
      <c r="I91" s="97">
        <v>-35.466479999999997</v>
      </c>
      <c r="J91" s="97">
        <v>21.563970000000001</v>
      </c>
      <c r="K91" s="104">
        <v>4.5803190000000003</v>
      </c>
      <c r="N91" s="4">
        <f>'R'!E89</f>
        <v>1.7644311439395249E-3</v>
      </c>
      <c r="O91" s="66">
        <f>N91*Table225[[#This Row],[2020]]</f>
        <v>2.306953138784618E-2</v>
      </c>
      <c r="P91" s="3">
        <f>N91*Table225[[#This Row],[2019]]</f>
        <v>8.0440645228251659E-2</v>
      </c>
      <c r="Q91" s="4">
        <f>N91*Table225[[#This Row],[2018]]</f>
        <v>-6.2578161877908281E-2</v>
      </c>
      <c r="R91" s="4">
        <f>N91*Table225[[#This Row],[2017]]</f>
        <v>3.8048140254977596E-2</v>
      </c>
      <c r="S91" s="47">
        <f>N91*Table225[[#This Row],[2016]]</f>
        <v>8.0816574927779408E-3</v>
      </c>
      <c r="V91" s="4">
        <f t="shared" si="2"/>
        <v>3.6363636363636364E-3</v>
      </c>
      <c r="W91" s="66">
        <f>V91*Table225[[#This Row],[2020]]</f>
        <v>4.7544618181818175E-2</v>
      </c>
      <c r="X91" s="3">
        <f>V91*Table225[[#This Row],[2019]]</f>
        <v>0.16578229090909091</v>
      </c>
      <c r="Y91" s="4">
        <f>V91*Table225[[#This Row],[2018]]</f>
        <v>-0.12896901818181816</v>
      </c>
      <c r="Z91" s="4">
        <f>V91*Table225[[#This Row],[2017]]</f>
        <v>7.8414436363636361E-2</v>
      </c>
      <c r="AA91" s="47">
        <f>V91*Table225[[#This Row],[2016]]</f>
        <v>1.6655705454545457E-2</v>
      </c>
    </row>
    <row r="92" spans="1:27" x14ac:dyDescent="0.35">
      <c r="A92" s="83" t="s">
        <v>464</v>
      </c>
      <c r="B92" s="84" t="s">
        <v>952</v>
      </c>
      <c r="C92" s="84" t="str">
        <f>Table225[[#This Row],[Ticker]]&amp; ( "US EQUITY")</f>
        <v>TSNUS EQUITY</v>
      </c>
      <c r="D92" s="85">
        <v>0.43120010561985656</v>
      </c>
      <c r="E92" s="85">
        <v>0.56879989438014344</v>
      </c>
      <c r="F92" s="86">
        <f>_xlfn.XLOOKUP(Table225[[#This Row],[Ticker]],'R'!B:B,'R'!D:D,"not found")</f>
        <v>19420000000</v>
      </c>
      <c r="G92" s="87">
        <v>-27.329329999999999</v>
      </c>
      <c r="H92" s="88">
        <v>73.873450000000005</v>
      </c>
      <c r="I92" s="97">
        <v>-32.819020000000002</v>
      </c>
      <c r="J92" s="97">
        <v>33.384480000000003</v>
      </c>
      <c r="K92" s="104">
        <v>16.866</v>
      </c>
      <c r="N92" s="4">
        <f>'R'!E90</f>
        <v>2.2395590075363122E-3</v>
      </c>
      <c r="O92" s="66">
        <f>N92*Table225[[#This Row],[2020]]</f>
        <v>-6.1205647171432363E-2</v>
      </c>
      <c r="P92" s="3">
        <f>N92*Table225[[#This Row],[2019]]</f>
        <v>0.16544395036528339</v>
      </c>
      <c r="Q92" s="4">
        <f>N92*Table225[[#This Row],[2018]]</f>
        <v>-7.3500131859514387E-2</v>
      </c>
      <c r="R92" s="4">
        <f>N92*Table225[[#This Row],[2017]]</f>
        <v>7.4766512895915876E-2</v>
      </c>
      <c r="S92" s="47">
        <f>N92*Table225[[#This Row],[2016]]</f>
        <v>3.7772402221107441E-2</v>
      </c>
      <c r="V92" s="4">
        <f t="shared" si="2"/>
        <v>3.6363636363636364E-3</v>
      </c>
      <c r="W92" s="66">
        <f>V92*Table225[[#This Row],[2020]]</f>
        <v>-9.9379381818181817E-2</v>
      </c>
      <c r="X92" s="3">
        <f>V92*Table225[[#This Row],[2019]]</f>
        <v>0.2686307272727273</v>
      </c>
      <c r="Y92" s="4">
        <f>V92*Table225[[#This Row],[2018]]</f>
        <v>-0.11934189090909092</v>
      </c>
      <c r="Z92" s="4">
        <f>V92*Table225[[#This Row],[2017]]</f>
        <v>0.1213981090909091</v>
      </c>
      <c r="AA92" s="47">
        <f>V92*Table225[[#This Row],[2016]]</f>
        <v>6.1330909090909089E-2</v>
      </c>
    </row>
    <row r="93" spans="1:27" x14ac:dyDescent="0.35">
      <c r="A93" s="83" t="s">
        <v>52</v>
      </c>
      <c r="B93" s="84" t="s">
        <v>560</v>
      </c>
      <c r="C93" s="84" t="str">
        <f>Table225[[#This Row],[Ticker]]&amp; ( "US EQUITY")</f>
        <v>CCLUS EQUITY</v>
      </c>
      <c r="D93" s="85">
        <v>0.39094580405459978</v>
      </c>
      <c r="E93" s="85">
        <v>0.60905419594540022</v>
      </c>
      <c r="F93" s="86">
        <f>_xlfn.XLOOKUP(Table225[[#This Row],[Ticker]],'R'!B:B,'R'!D:D,"not found")</f>
        <v>42060000000</v>
      </c>
      <c r="G93" s="87">
        <v>-56.886040000000001</v>
      </c>
      <c r="H93" s="88">
        <v>7.3935149999999998</v>
      </c>
      <c r="I93" s="97">
        <v>-23.396229999999999</v>
      </c>
      <c r="J93" s="97">
        <v>30.75665</v>
      </c>
      <c r="K93" s="104">
        <v>-1.7628490000000001</v>
      </c>
      <c r="N93" s="4">
        <f>'R'!E91</f>
        <v>4.8504558113788513E-3</v>
      </c>
      <c r="O93" s="66">
        <f>N93*Table225[[#This Row],[2020]]</f>
        <v>-0.27592322330432978</v>
      </c>
      <c r="P93" s="3">
        <f>N93*Table225[[#This Row],[2019]]</f>
        <v>3.586191779826671E-2</v>
      </c>
      <c r="Q93" s="4">
        <f>N93*Table225[[#This Row],[2018]]</f>
        <v>-0.11348237976785622</v>
      </c>
      <c r="R93" s="4">
        <f>N93*Table225[[#This Row],[2017]]</f>
        <v>0.14918377173104536</v>
      </c>
      <c r="S93" s="47">
        <f>N93*Table225[[#This Row],[2016]]</f>
        <v>-8.5506211766333967E-3</v>
      </c>
      <c r="V93" s="4">
        <f t="shared" si="2"/>
        <v>3.6363636363636364E-3</v>
      </c>
      <c r="W93" s="66">
        <f>V93*Table225[[#This Row],[2020]]</f>
        <v>-0.20685832727272727</v>
      </c>
      <c r="X93" s="3">
        <f>V93*Table225[[#This Row],[2019]]</f>
        <v>2.6885509090909091E-2</v>
      </c>
      <c r="Y93" s="4">
        <f>V93*Table225[[#This Row],[2018]]</f>
        <v>-8.5077199999999992E-2</v>
      </c>
      <c r="Z93" s="4">
        <f>V93*Table225[[#This Row],[2017]]</f>
        <v>0.11184236363636364</v>
      </c>
      <c r="AA93" s="47">
        <f>V93*Table225[[#This Row],[2016]]</f>
        <v>-6.4103600000000004E-3</v>
      </c>
    </row>
    <row r="94" spans="1:27" x14ac:dyDescent="0.35">
      <c r="A94" s="83" t="s">
        <v>51</v>
      </c>
      <c r="B94" s="84" t="s">
        <v>559</v>
      </c>
      <c r="C94" s="84" t="str">
        <f>Table225[[#This Row],[Ticker]]&amp; ( "US EQUITY")</f>
        <v>HBANUS EQUITY</v>
      </c>
      <c r="D94" s="85">
        <v>0.21976278387348475</v>
      </c>
      <c r="E94" s="85">
        <v>0.78023721612651531</v>
      </c>
      <c r="F94" s="86">
        <f>_xlfn.XLOOKUP(Table225[[#This Row],[Ticker]],'R'!B:B,'R'!D:D,"not found")</f>
        <v>8790000000</v>
      </c>
      <c r="G94" s="87">
        <v>-11.12247</v>
      </c>
      <c r="H94" s="88">
        <v>31.73884</v>
      </c>
      <c r="I94" s="97">
        <v>-15.25238</v>
      </c>
      <c r="J94" s="97">
        <v>12.980589999999999</v>
      </c>
      <c r="K94" s="104">
        <v>22.92146</v>
      </c>
      <c r="N94" s="4">
        <f>'R'!E92</f>
        <v>1.0136829905378055E-3</v>
      </c>
      <c r="O94" s="66">
        <f>N94*Table225[[#This Row],[2020]]</f>
        <v>-1.1274658651767026E-2</v>
      </c>
      <c r="P94" s="3">
        <f>N94*Table225[[#This Row],[2019]]</f>
        <v>3.2173122247400925E-2</v>
      </c>
      <c r="Q94" s="4">
        <f>N94*Table225[[#This Row],[2018]]</f>
        <v>-1.5461078171219014E-2</v>
      </c>
      <c r="R94" s="4">
        <f>N94*Table225[[#This Row],[2017]]</f>
        <v>1.3158203290145132E-2</v>
      </c>
      <c r="S94" s="47">
        <f>N94*Table225[[#This Row],[2016]]</f>
        <v>2.3235094120292687E-2</v>
      </c>
      <c r="V94" s="4">
        <f t="shared" si="2"/>
        <v>3.6363636363636364E-3</v>
      </c>
      <c r="W94" s="66">
        <f>V94*Table225[[#This Row],[2020]]</f>
        <v>-4.0445345454545457E-2</v>
      </c>
      <c r="X94" s="3">
        <f>V94*Table225[[#This Row],[2019]]</f>
        <v>0.11541396363636364</v>
      </c>
      <c r="Y94" s="4">
        <f>V94*Table225[[#This Row],[2018]]</f>
        <v>-5.5463200000000004E-2</v>
      </c>
      <c r="Z94" s="4">
        <f>V94*Table225[[#This Row],[2017]]</f>
        <v>4.7202145454545451E-2</v>
      </c>
      <c r="AA94" s="47">
        <f>V94*Table225[[#This Row],[2016]]</f>
        <v>8.3350763636363637E-2</v>
      </c>
    </row>
    <row r="95" spans="1:27" x14ac:dyDescent="0.35">
      <c r="A95" s="83" t="s">
        <v>245</v>
      </c>
      <c r="B95" s="84" t="s">
        <v>745</v>
      </c>
      <c r="C95" s="84" t="str">
        <f>Table225[[#This Row],[Ticker]]&amp; ( "US EQUITY")</f>
        <v>FEUS EQUITY</v>
      </c>
      <c r="D95" s="85">
        <v>0.13416981686891621</v>
      </c>
      <c r="E95" s="85">
        <v>0.86583018313108373</v>
      </c>
      <c r="F95" s="86">
        <f>_xlfn.XLOOKUP(Table225[[#This Row],[Ticker]],'R'!B:B,'R'!D:D,"not found")</f>
        <v>13440000000</v>
      </c>
      <c r="G95" s="87">
        <v>-34.200220000000002</v>
      </c>
      <c r="H95" s="88">
        <v>34.112299999999998</v>
      </c>
      <c r="I95" s="97">
        <v>27.833010000000002</v>
      </c>
      <c r="J95" s="97">
        <v>3.5679099999999999</v>
      </c>
      <c r="K95" s="104">
        <v>1.8842460000000001</v>
      </c>
      <c r="N95" s="4">
        <f>'R'!E93</f>
        <v>1.5499316715390336E-3</v>
      </c>
      <c r="O95" s="66">
        <f>N95*Table225[[#This Row],[2020]]</f>
        <v>-5.3008004151602693E-2</v>
      </c>
      <c r="P95" s="3">
        <f>N95*Table225[[#This Row],[2019]]</f>
        <v>5.2871734159040971E-2</v>
      </c>
      <c r="Q95" s="4">
        <f>N95*Table225[[#This Row],[2018]]</f>
        <v>4.3139263713262641E-2</v>
      </c>
      <c r="R95" s="4">
        <f>N95*Table225[[#This Row],[2017]]</f>
        <v>5.5300167102008335E-3</v>
      </c>
      <c r="S95" s="47">
        <f>N95*Table225[[#This Row],[2016]]</f>
        <v>2.9204525523707382E-3</v>
      </c>
      <c r="V95" s="4">
        <f t="shared" si="2"/>
        <v>3.6363636363636364E-3</v>
      </c>
      <c r="W95" s="66">
        <f>V95*Table225[[#This Row],[2020]]</f>
        <v>-0.12436443636363637</v>
      </c>
      <c r="X95" s="3">
        <f>V95*Table225[[#This Row],[2019]]</f>
        <v>0.12404472727272726</v>
      </c>
      <c r="Y95" s="4">
        <f>V95*Table225[[#This Row],[2018]]</f>
        <v>0.10121094545454545</v>
      </c>
      <c r="Z95" s="4">
        <f>V95*Table225[[#This Row],[2017]]</f>
        <v>1.2974218181818181E-2</v>
      </c>
      <c r="AA95" s="47">
        <f>V95*Table225[[#This Row],[2016]]</f>
        <v>6.8518036363636363E-3</v>
      </c>
    </row>
    <row r="96" spans="1:27" x14ac:dyDescent="0.35">
      <c r="A96" s="83" t="s">
        <v>396</v>
      </c>
      <c r="B96" s="84" t="s">
        <v>892</v>
      </c>
      <c r="C96" s="84" t="str">
        <f>Table225[[#This Row],[Ticker]]&amp; ( "US EQUITY")</f>
        <v>PFGUS EQUITY</v>
      </c>
      <c r="D96" s="85">
        <v>0.34717905675459632</v>
      </c>
      <c r="E96" s="85">
        <v>0.65282094324540363</v>
      </c>
      <c r="F96" s="86">
        <f>_xlfn.XLOOKUP(Table225[[#This Row],[Ticker]],'R'!B:B,'R'!D:D,"not found")</f>
        <v>13110000000</v>
      </c>
      <c r="G96" s="87">
        <v>-5.0457239999999999</v>
      </c>
      <c r="H96" s="88">
        <v>29.787289999999999</v>
      </c>
      <c r="I96" s="97">
        <v>-34.989750000000001</v>
      </c>
      <c r="J96" s="97">
        <v>25.501740000000002</v>
      </c>
      <c r="K96" s="104">
        <v>33.107469999999999</v>
      </c>
      <c r="N96" s="4">
        <f>'R'!E94</f>
        <v>1.5118753135324949E-3</v>
      </c>
      <c r="O96" s="66">
        <f>N96*Table225[[#This Row],[2020]]</f>
        <v>-7.628505554498434E-3</v>
      </c>
      <c r="P96" s="3">
        <f>N96*Table225[[#This Row],[2019]]</f>
        <v>4.503466840803335E-2</v>
      </c>
      <c r="Q96" s="4">
        <f>N96*Table225[[#This Row],[2018]]</f>
        <v>-5.2900139251673611E-2</v>
      </c>
      <c r="R96" s="4">
        <f>N96*Table225[[#This Row],[2017]]</f>
        <v>3.8555451158124171E-2</v>
      </c>
      <c r="S96" s="47">
        <f>N96*Table225[[#This Row],[2016]]</f>
        <v>5.0054366586517664E-2</v>
      </c>
      <c r="V96" s="4">
        <f t="shared" si="2"/>
        <v>3.6363636363636364E-3</v>
      </c>
      <c r="W96" s="66">
        <f>V96*Table225[[#This Row],[2020]]</f>
        <v>-1.8348087272727274E-2</v>
      </c>
      <c r="X96" s="3">
        <f>V96*Table225[[#This Row],[2019]]</f>
        <v>0.10831741818181817</v>
      </c>
      <c r="Y96" s="4">
        <f>V96*Table225[[#This Row],[2018]]</f>
        <v>-0.12723545454545454</v>
      </c>
      <c r="Z96" s="4">
        <f>V96*Table225[[#This Row],[2017]]</f>
        <v>9.2733599999999999E-2</v>
      </c>
      <c r="AA96" s="47">
        <f>V96*Table225[[#This Row],[2016]]</f>
        <v>0.12039079999999999</v>
      </c>
    </row>
    <row r="97" spans="1:27" x14ac:dyDescent="0.35">
      <c r="A97" s="83" t="s">
        <v>114</v>
      </c>
      <c r="B97" s="84" t="s">
        <v>618</v>
      </c>
      <c r="C97" s="84" t="str">
        <f>Table225[[#This Row],[Ticker]]&amp; ( "US EQUITY")</f>
        <v>AONUS EQUITY</v>
      </c>
      <c r="D97" s="85">
        <v>0.36188376518320436</v>
      </c>
      <c r="E97" s="85">
        <v>0.63811623481679558</v>
      </c>
      <c r="F97" s="86">
        <f>_xlfn.XLOOKUP(Table225[[#This Row],[Ticker]],'R'!B:B,'R'!D:D,"not found")</f>
        <v>24880000000</v>
      </c>
      <c r="G97" s="87">
        <v>2.3660420000000002</v>
      </c>
      <c r="H97" s="88">
        <v>44.673929999999999</v>
      </c>
      <c r="I97" s="97">
        <v>9.6428510000000003</v>
      </c>
      <c r="J97" s="97">
        <v>21.47982</v>
      </c>
      <c r="K97" s="104">
        <v>22.488130000000002</v>
      </c>
      <c r="N97" s="4">
        <f>'R'!E95</f>
        <v>2.8692187490990447E-3</v>
      </c>
      <c r="O97" s="66">
        <f>N97*Table225[[#This Row],[2020]]</f>
        <v>6.7886920675558028E-3</v>
      </c>
      <c r="P97" s="3">
        <f>N97*Table225[[#This Row],[2019]]</f>
        <v>0.12817927755193828</v>
      </c>
      <c r="Q97" s="4">
        <f>N97*Table225[[#This Row],[2018]]</f>
        <v>2.7667448883968472E-2</v>
      </c>
      <c r="R97" s="4">
        <f>N97*Table225[[#This Row],[2017]]</f>
        <v>6.1630302271272641E-2</v>
      </c>
      <c r="S97" s="47">
        <f>N97*Table225[[#This Row],[2016]]</f>
        <v>6.4523364228176699E-2</v>
      </c>
      <c r="V97" s="4">
        <f t="shared" si="2"/>
        <v>3.6363636363636364E-3</v>
      </c>
      <c r="W97" s="66">
        <f>V97*Table225[[#This Row],[2020]]</f>
        <v>8.6037890909090916E-3</v>
      </c>
      <c r="X97" s="3">
        <f>V97*Table225[[#This Row],[2019]]</f>
        <v>0.16245065454545454</v>
      </c>
      <c r="Y97" s="4">
        <f>V97*Table225[[#This Row],[2018]]</f>
        <v>3.5064912727272725E-2</v>
      </c>
      <c r="Z97" s="4">
        <f>V97*Table225[[#This Row],[2017]]</f>
        <v>7.810843636363636E-2</v>
      </c>
      <c r="AA97" s="47">
        <f>V97*Table225[[#This Row],[2016]]</f>
        <v>8.177501818181819E-2</v>
      </c>
    </row>
    <row r="98" spans="1:27" x14ac:dyDescent="0.35">
      <c r="A98" s="83" t="s">
        <v>130</v>
      </c>
      <c r="B98" s="84" t="s">
        <v>634</v>
      </c>
      <c r="C98" s="84" t="str">
        <f>Table225[[#This Row],[Ticker]]&amp; ( "US EQUITY")</f>
        <v>BLLUS EQUITY</v>
      </c>
      <c r="D98" s="85">
        <v>0.38997065884235799</v>
      </c>
      <c r="E98" s="85">
        <v>0.61002934115764207</v>
      </c>
      <c r="F98" s="86">
        <f>_xlfn.XLOOKUP(Table225[[#This Row],[Ticker]],'R'!B:B,'R'!D:D,"not found")</f>
        <v>10270000000</v>
      </c>
      <c r="G98" s="87">
        <v>45.192590000000003</v>
      </c>
      <c r="H98" s="88">
        <v>41.833970000000001</v>
      </c>
      <c r="I98" s="97">
        <v>22.654019999999999</v>
      </c>
      <c r="J98" s="97">
        <v>1.775658</v>
      </c>
      <c r="K98" s="104">
        <v>3.9493200000000002</v>
      </c>
      <c r="N98" s="4">
        <f>'R'!E96</f>
        <v>1.1843599900822825E-3</v>
      </c>
      <c r="O98" s="66">
        <f>N98*Table225[[#This Row],[2020]]</f>
        <v>5.3524295444192661E-2</v>
      </c>
      <c r="P98" s="3">
        <f>N98*Table225[[#This Row],[2019]]</f>
        <v>4.9546480294302503E-2</v>
      </c>
      <c r="Q98" s="4">
        <f>N98*Table225[[#This Row],[2018]]</f>
        <v>2.683051490252383E-2</v>
      </c>
      <c r="R98" s="4">
        <f>N98*Table225[[#This Row],[2017]]</f>
        <v>2.1030182912695253E-3</v>
      </c>
      <c r="S98" s="47">
        <f>N98*Table225[[#This Row],[2016]]</f>
        <v>4.6774165960317598E-3</v>
      </c>
      <c r="V98" s="4">
        <f t="shared" si="2"/>
        <v>3.6363636363636364E-3</v>
      </c>
      <c r="W98" s="66">
        <f>V98*Table225[[#This Row],[2020]]</f>
        <v>0.16433669090909092</v>
      </c>
      <c r="X98" s="3">
        <f>V98*Table225[[#This Row],[2019]]</f>
        <v>0.15212352727272727</v>
      </c>
      <c r="Y98" s="4">
        <f>V98*Table225[[#This Row],[2018]]</f>
        <v>8.2378254545454541E-2</v>
      </c>
      <c r="Z98" s="4">
        <f>V98*Table225[[#This Row],[2017]]</f>
        <v>6.4569381818181818E-3</v>
      </c>
      <c r="AA98" s="47">
        <f>V98*Table225[[#This Row],[2016]]</f>
        <v>1.4361163636363637E-2</v>
      </c>
    </row>
    <row r="99" spans="1:27" x14ac:dyDescent="0.35">
      <c r="A99" s="83" t="s">
        <v>75</v>
      </c>
      <c r="B99" s="84" t="s">
        <v>580</v>
      </c>
      <c r="C99" s="84" t="str">
        <f>Table225[[#This Row],[Ticker]]&amp; ( "US EQUITY")</f>
        <v>MMMUS EQUITY</v>
      </c>
      <c r="D99" s="85">
        <v>0.35957107761768808</v>
      </c>
      <c r="E99" s="85">
        <v>0.64042892238231197</v>
      </c>
      <c r="F99" s="86">
        <f>_xlfn.XLOOKUP(Table225[[#This Row],[Ticker]],'R'!B:B,'R'!D:D,"not found")</f>
        <v>91790000000</v>
      </c>
      <c r="G99" s="87">
        <v>2.7868270000000002</v>
      </c>
      <c r="H99" s="88">
        <v>-4.2593180000000004</v>
      </c>
      <c r="I99" s="97">
        <v>-16.910430000000002</v>
      </c>
      <c r="J99" s="97">
        <v>34.915480000000002</v>
      </c>
      <c r="K99" s="104">
        <v>21.720700000000001</v>
      </c>
      <c r="N99" s="4">
        <f>'R'!E97</f>
        <v>1.0585433640667255E-2</v>
      </c>
      <c r="O99" s="66">
        <f>N99*Table225[[#This Row],[2020]]</f>
        <v>2.9499772276519808E-2</v>
      </c>
      <c r="P99" s="3">
        <f>N99*Table225[[#This Row],[2019]]</f>
        <v>-4.5086728043499578E-2</v>
      </c>
      <c r="Q99" s="4">
        <f>N99*Table225[[#This Row],[2018]]</f>
        <v>-0.1790042346001488</v>
      </c>
      <c r="R99" s="4">
        <f>N99*Table225[[#This Row],[2017]]</f>
        <v>0.36959549657204477</v>
      </c>
      <c r="S99" s="47">
        <f>N99*Table225[[#This Row],[2016]]</f>
        <v>0.22992302847884127</v>
      </c>
      <c r="V99" s="4">
        <f t="shared" si="2"/>
        <v>3.6363636363636364E-3</v>
      </c>
      <c r="W99" s="66">
        <f>V99*Table225[[#This Row],[2020]]</f>
        <v>1.0133916363636364E-2</v>
      </c>
      <c r="X99" s="3">
        <f>V99*Table225[[#This Row],[2019]]</f>
        <v>-1.5488429090909092E-2</v>
      </c>
      <c r="Y99" s="4">
        <f>V99*Table225[[#This Row],[2018]]</f>
        <v>-6.1492472727272735E-2</v>
      </c>
      <c r="Z99" s="4">
        <f>V99*Table225[[#This Row],[2017]]</f>
        <v>0.12696538181818182</v>
      </c>
      <c r="AA99" s="47">
        <f>V99*Table225[[#This Row],[2016]]</f>
        <v>7.8984363636363644E-2</v>
      </c>
    </row>
    <row r="100" spans="1:27" x14ac:dyDescent="0.35">
      <c r="A100" s="83" t="s">
        <v>177</v>
      </c>
      <c r="B100" s="84" t="s">
        <v>681</v>
      </c>
      <c r="C100" s="84" t="str">
        <f>Table225[[#This Row],[Ticker]]&amp; ( "US EQUITY")</f>
        <v>CMSUS EQUITY</v>
      </c>
      <c r="D100" s="85">
        <v>0.34121247750634176</v>
      </c>
      <c r="E100" s="85">
        <v>0.65878752249365824</v>
      </c>
      <c r="F100" s="86">
        <f>_xlfn.XLOOKUP(Table225[[#This Row],[Ticker]],'R'!B:B,'R'!D:D,"not found")</f>
        <v>10000000000</v>
      </c>
      <c r="G100" s="87">
        <v>-0.31658409999999998</v>
      </c>
      <c r="H100" s="88">
        <v>29.99371</v>
      </c>
      <c r="I100" s="97">
        <v>8.2275980000000004</v>
      </c>
      <c r="J100" s="97">
        <v>17.016829999999999</v>
      </c>
      <c r="K100" s="104">
        <v>18.85061</v>
      </c>
      <c r="N100" s="4">
        <f>'R'!E98</f>
        <v>1.1532229698951143E-3</v>
      </c>
      <c r="O100" s="66">
        <f>N100*Table225[[#This Row],[2020]]</f>
        <v>-3.6509205602357182E-4</v>
      </c>
      <c r="P100" s="3">
        <f>N100*Table225[[#This Row],[2019]]</f>
        <v>3.4589435324372787E-2</v>
      </c>
      <c r="Q100" s="4">
        <f>N100*Table225[[#This Row],[2018]]</f>
        <v>9.4882550006631025E-3</v>
      </c>
      <c r="R100" s="4">
        <f>N100*Table225[[#This Row],[2017]]</f>
        <v>1.9624199230800277E-2</v>
      </c>
      <c r="S100" s="47">
        <f>N100*Table225[[#This Row],[2016]]</f>
        <v>2.173895644853454E-2</v>
      </c>
      <c r="V100" s="4">
        <f t="shared" si="2"/>
        <v>3.6363636363636364E-3</v>
      </c>
      <c r="W100" s="66">
        <f>V100*Table225[[#This Row],[2020]]</f>
        <v>-1.1512149090909091E-3</v>
      </c>
      <c r="X100" s="3">
        <f>V100*Table225[[#This Row],[2019]]</f>
        <v>0.10906803636363636</v>
      </c>
      <c r="Y100" s="4">
        <f>V100*Table225[[#This Row],[2018]]</f>
        <v>2.9918538181818184E-2</v>
      </c>
      <c r="Z100" s="4">
        <f>V100*Table225[[#This Row],[2017]]</f>
        <v>6.1879381818181811E-2</v>
      </c>
      <c r="AA100" s="47">
        <f>V100*Table225[[#This Row],[2016]]</f>
        <v>6.8547672727272732E-2</v>
      </c>
    </row>
    <row r="101" spans="1:27" x14ac:dyDescent="0.35">
      <c r="A101" s="83" t="s">
        <v>223</v>
      </c>
      <c r="B101" s="84" t="s">
        <v>724</v>
      </c>
      <c r="C101" s="84" t="str">
        <f>Table225[[#This Row],[Ticker]]&amp; ( "US EQUITY")</f>
        <v>EMRUS EQUITY</v>
      </c>
      <c r="D101" s="85">
        <v>0.15996528541946092</v>
      </c>
      <c r="E101" s="85">
        <v>0.84003471458053902</v>
      </c>
      <c r="F101" s="86">
        <f>_xlfn.XLOOKUP(Table225[[#This Row],[Ticker]],'R'!B:B,'R'!D:D,"not found")</f>
        <v>30760000000</v>
      </c>
      <c r="G101" s="87">
        <v>8.6005099999999999</v>
      </c>
      <c r="H101" s="88">
        <v>31.555430000000001</v>
      </c>
      <c r="I101" s="97">
        <v>-11.907170000000001</v>
      </c>
      <c r="J101" s="97">
        <v>29.038869999999999</v>
      </c>
      <c r="K101" s="104">
        <v>21.003779999999999</v>
      </c>
      <c r="N101" s="4">
        <f>'R'!E99</f>
        <v>3.5473138553973717E-3</v>
      </c>
      <c r="O101" s="66">
        <f>N101*Table225[[#This Row],[2020]]</f>
        <v>3.0508708286483648E-2</v>
      </c>
      <c r="P101" s="3">
        <f>N101*Table225[[#This Row],[2019]]</f>
        <v>0.11193701405202189</v>
      </c>
      <c r="Q101" s="4">
        <f>N101*Table225[[#This Row],[2018]]</f>
        <v>-4.2238469119571923E-2</v>
      </c>
      <c r="R101" s="4">
        <f>N101*Table225[[#This Row],[2017]]</f>
        <v>0.10300998589608307</v>
      </c>
      <c r="S101" s="47">
        <f>N101*Table225[[#This Row],[2016]]</f>
        <v>7.45069998097182E-2</v>
      </c>
      <c r="V101" s="4">
        <f t="shared" si="2"/>
        <v>3.6363636363636364E-3</v>
      </c>
      <c r="W101" s="66">
        <f>V101*Table225[[#This Row],[2020]]</f>
        <v>3.1274581818181817E-2</v>
      </c>
      <c r="X101" s="3">
        <f>V101*Table225[[#This Row],[2019]]</f>
        <v>0.11474701818181819</v>
      </c>
      <c r="Y101" s="4">
        <f>V101*Table225[[#This Row],[2018]]</f>
        <v>-4.3298800000000005E-2</v>
      </c>
      <c r="Z101" s="4">
        <f>V101*Table225[[#This Row],[2017]]</f>
        <v>0.10559589090909091</v>
      </c>
      <c r="AA101" s="47">
        <f>V101*Table225[[#This Row],[2016]]</f>
        <v>7.6377381818181808E-2</v>
      </c>
    </row>
    <row r="102" spans="1:27" x14ac:dyDescent="0.35">
      <c r="A102" s="83" t="s">
        <v>395</v>
      </c>
      <c r="B102" s="84" t="s">
        <v>891</v>
      </c>
      <c r="C102" s="84" t="str">
        <f>Table225[[#This Row],[Ticker]]&amp; ( "US EQUITY")</f>
        <v>PPLUS EQUITY</v>
      </c>
      <c r="D102" s="85">
        <v>0.25624230666309872</v>
      </c>
      <c r="E102" s="85">
        <v>0.74375769333690123</v>
      </c>
      <c r="F102" s="86">
        <f>_xlfn.XLOOKUP(Table225[[#This Row],[Ticker]],'R'!B:B,'R'!D:D,"not found")</f>
        <v>23000000000</v>
      </c>
      <c r="G102" s="87">
        <v>-16.72889</v>
      </c>
      <c r="H102" s="88">
        <v>33.424930000000003</v>
      </c>
      <c r="I102" s="97">
        <v>-3.064489</v>
      </c>
      <c r="J102" s="97">
        <v>-5.1993489999999998</v>
      </c>
      <c r="K102" s="104">
        <v>4.1015860000000002</v>
      </c>
      <c r="N102" s="4">
        <f>'R'!E100</f>
        <v>2.6524128307587633E-3</v>
      </c>
      <c r="O102" s="66">
        <f>N102*Table225[[#This Row],[2020]]</f>
        <v>-4.4371922480351968E-2</v>
      </c>
      <c r="P102" s="3">
        <f>N102*Table225[[#This Row],[2019]]</f>
        <v>8.8656713199213519E-2</v>
      </c>
      <c r="Q102" s="4">
        <f>N102*Table225[[#This Row],[2018]]</f>
        <v>-8.1282899433190916E-3</v>
      </c>
      <c r="R102" s="4">
        <f>N102*Table225[[#This Row],[2017]]</f>
        <v>-1.3790819999192745E-2</v>
      </c>
      <c r="S102" s="47">
        <f>N102*Table225[[#This Row],[2016]]</f>
        <v>1.0879099332860513E-2</v>
      </c>
      <c r="V102" s="4">
        <f t="shared" si="2"/>
        <v>3.6363636363636364E-3</v>
      </c>
      <c r="W102" s="66">
        <f>V102*Table225[[#This Row],[2020]]</f>
        <v>-6.083232727272727E-2</v>
      </c>
      <c r="X102" s="3">
        <f>V102*Table225[[#This Row],[2019]]</f>
        <v>0.12154520000000001</v>
      </c>
      <c r="Y102" s="4">
        <f>V102*Table225[[#This Row],[2018]]</f>
        <v>-1.1143596363636364E-2</v>
      </c>
      <c r="Z102" s="4">
        <f>V102*Table225[[#This Row],[2017]]</f>
        <v>-1.8906723636363636E-2</v>
      </c>
      <c r="AA102" s="47">
        <f>V102*Table225[[#This Row],[2016]]</f>
        <v>1.4914858181818182E-2</v>
      </c>
    </row>
    <row r="103" spans="1:27" x14ac:dyDescent="0.35">
      <c r="A103" s="83" t="s">
        <v>49</v>
      </c>
      <c r="B103" s="84" t="s">
        <v>557</v>
      </c>
      <c r="C103" s="84" t="str">
        <f>Table225[[#This Row],[Ticker]]&amp; ( "US EQUITY")</f>
        <v>NUEUS EQUITY</v>
      </c>
      <c r="D103" s="85">
        <v>0.12574071874463846</v>
      </c>
      <c r="E103" s="85">
        <v>0.87425928125536156</v>
      </c>
      <c r="F103" s="86">
        <f>_xlfn.XLOOKUP(Table225[[#This Row],[Ticker]],'R'!B:B,'R'!D:D,"not found")</f>
        <v>12810000000</v>
      </c>
      <c r="G103" s="87">
        <v>-1.8465579999999999</v>
      </c>
      <c r="H103" s="88">
        <v>11.874029999999999</v>
      </c>
      <c r="I103" s="97">
        <v>-16.35624</v>
      </c>
      <c r="J103" s="97">
        <v>9.5729109999999995</v>
      </c>
      <c r="K103" s="104">
        <v>52.112409999999997</v>
      </c>
      <c r="N103" s="4">
        <f>'R'!E101</f>
        <v>1.4772786244356415E-3</v>
      </c>
      <c r="O103" s="66">
        <f>N103*Table225[[#This Row],[2020]]</f>
        <v>-2.7278806621806291E-3</v>
      </c>
      <c r="P103" s="3">
        <f>N103*Table225[[#This Row],[2019]]</f>
        <v>1.754125070490754E-2</v>
      </c>
      <c r="Q103" s="4">
        <f>N103*Table225[[#This Row],[2018]]</f>
        <v>-2.4162723728139216E-2</v>
      </c>
      <c r="R103" s="4">
        <f>N103*Table225[[#This Row],[2017]]</f>
        <v>1.4141856793924821E-2</v>
      </c>
      <c r="S103" s="47">
        <f>N103*Table225[[#This Row],[2016]]</f>
        <v>7.698454936082616E-2</v>
      </c>
      <c r="V103" s="4">
        <f t="shared" si="2"/>
        <v>3.6363636363636364E-3</v>
      </c>
      <c r="W103" s="66">
        <f>V103*Table225[[#This Row],[2020]]</f>
        <v>-6.7147563636363638E-3</v>
      </c>
      <c r="X103" s="3">
        <f>V103*Table225[[#This Row],[2019]]</f>
        <v>4.3178290909090908E-2</v>
      </c>
      <c r="Y103" s="4">
        <f>V103*Table225[[#This Row],[2018]]</f>
        <v>-5.947723636363636E-2</v>
      </c>
      <c r="Z103" s="4">
        <f>V103*Table225[[#This Row],[2017]]</f>
        <v>3.4810585454545455E-2</v>
      </c>
      <c r="AA103" s="47">
        <f>V103*Table225[[#This Row],[2016]]</f>
        <v>0.18949967272727272</v>
      </c>
    </row>
    <row r="104" spans="1:27" x14ac:dyDescent="0.35">
      <c r="A104" s="83" t="s">
        <v>332</v>
      </c>
      <c r="B104" s="84" t="s">
        <v>829</v>
      </c>
      <c r="C104" s="84" t="str">
        <f>Table225[[#This Row],[Ticker]]&amp; ( "US EQUITY")</f>
        <v>MPCUS EQUITY</v>
      </c>
      <c r="D104" s="85">
        <v>4.7068828103251685E-2</v>
      </c>
      <c r="E104" s="85">
        <v>0.95293117189674836</v>
      </c>
      <c r="F104" s="86">
        <f>_xlfn.XLOOKUP(Table225[[#This Row],[Ticker]],'R'!B:B,'R'!D:D,"not found")</f>
        <v>27530000000</v>
      </c>
      <c r="G104" s="87">
        <v>-27.36055</v>
      </c>
      <c r="H104" s="88">
        <v>6.0805319999999998</v>
      </c>
      <c r="I104" s="97">
        <v>-8.1895240000000005</v>
      </c>
      <c r="J104" s="97">
        <v>34.751739999999998</v>
      </c>
      <c r="K104" s="104">
        <v>0.67576170000000002</v>
      </c>
      <c r="N104" s="4">
        <f>'R'!E102</f>
        <v>3.1748228361212498E-3</v>
      </c>
      <c r="O104" s="66">
        <f>N104*Table225[[#This Row],[2020]]</f>
        <v>-8.6864898948837255E-2</v>
      </c>
      <c r="P104" s="3">
        <f>N104*Table225[[#This Row],[2019]]</f>
        <v>1.9304611849366014E-2</v>
      </c>
      <c r="Q104" s="4">
        <f>N104*Table225[[#This Row],[2018]]</f>
        <v>-2.6000287812163042E-2</v>
      </c>
      <c r="R104" s="4">
        <f>N104*Table225[[#This Row],[2017]]</f>
        <v>0.11033061774694827</v>
      </c>
      <c r="S104" s="47">
        <f>N104*Table225[[#This Row],[2016]]</f>
        <v>2.1454236769361174E-3</v>
      </c>
      <c r="V104" s="4">
        <f t="shared" si="2"/>
        <v>3.6363636363636364E-3</v>
      </c>
      <c r="W104" s="66">
        <f>V104*Table225[[#This Row],[2020]]</f>
        <v>-9.949290909090909E-2</v>
      </c>
      <c r="X104" s="3">
        <f>V104*Table225[[#This Row],[2019]]</f>
        <v>2.2111025454545453E-2</v>
      </c>
      <c r="Y104" s="4">
        <f>V104*Table225[[#This Row],[2018]]</f>
        <v>-2.9780087272727275E-2</v>
      </c>
      <c r="Z104" s="4">
        <f>V104*Table225[[#This Row],[2017]]</f>
        <v>0.12636996363636363</v>
      </c>
      <c r="AA104" s="47">
        <f>V104*Table225[[#This Row],[2016]]</f>
        <v>2.4573152727272729E-3</v>
      </c>
    </row>
    <row r="105" spans="1:27" x14ac:dyDescent="0.35">
      <c r="A105" s="83" t="s">
        <v>345</v>
      </c>
      <c r="B105" s="84" t="s">
        <v>842</v>
      </c>
      <c r="C105" s="84" t="str">
        <f>Table225[[#This Row],[Ticker]]&amp; ( "US EQUITY")</f>
        <v>MUUS EQUITY</v>
      </c>
      <c r="D105" s="85">
        <v>0.4953341098659812</v>
      </c>
      <c r="E105" s="85">
        <v>0.50466589013401886</v>
      </c>
      <c r="F105" s="86">
        <f>_xlfn.XLOOKUP(Table225[[#This Row],[Ticker]],'R'!B:B,'R'!D:D,"not found")</f>
        <v>14660000000</v>
      </c>
      <c r="G105" s="87">
        <v>39.791739999999997</v>
      </c>
      <c r="H105" s="88">
        <v>69.492609999999999</v>
      </c>
      <c r="I105" s="97">
        <v>-22.835609999999999</v>
      </c>
      <c r="J105" s="97">
        <v>87.591220000000007</v>
      </c>
      <c r="K105" s="104">
        <v>54.802250000000001</v>
      </c>
      <c r="N105" s="4">
        <f>'R'!E103</f>
        <v>1.6906248738662376E-3</v>
      </c>
      <c r="O105" s="66">
        <f>N105*Table225[[#This Row],[2020]]</f>
        <v>6.7272905418418114E-2</v>
      </c>
      <c r="P105" s="3">
        <f>N105*Table225[[#This Row],[2019]]</f>
        <v>0.11748593501588564</v>
      </c>
      <c r="Q105" s="4">
        <f>N105*Table225[[#This Row],[2018]]</f>
        <v>-3.8606450275908595E-2</v>
      </c>
      <c r="R105" s="4">
        <f>N105*Table225[[#This Row],[2017]]</f>
        <v>0.14808389526428989</v>
      </c>
      <c r="S105" s="47">
        <f>N105*Table225[[#This Row],[2016]]</f>
        <v>9.2650046993836013E-2</v>
      </c>
      <c r="V105" s="4">
        <f t="shared" si="2"/>
        <v>3.6363636363636364E-3</v>
      </c>
      <c r="W105" s="66">
        <f>V105*Table225[[#This Row],[2020]]</f>
        <v>0.14469723636363635</v>
      </c>
      <c r="X105" s="3">
        <f>V105*Table225[[#This Row],[2019]]</f>
        <v>0.25270039999999999</v>
      </c>
      <c r="Y105" s="4">
        <f>V105*Table225[[#This Row],[2018]]</f>
        <v>-8.3038581818181814E-2</v>
      </c>
      <c r="Z105" s="4">
        <f>V105*Table225[[#This Row],[2017]]</f>
        <v>0.3185135272727273</v>
      </c>
      <c r="AA105" s="47">
        <f>V105*Table225[[#This Row],[2016]]</f>
        <v>0.19928090909090909</v>
      </c>
    </row>
    <row r="106" spans="1:27" x14ac:dyDescent="0.35">
      <c r="A106" s="83" t="s">
        <v>315</v>
      </c>
      <c r="B106" s="84" t="s">
        <v>812</v>
      </c>
      <c r="C106" s="84" t="str">
        <f>Table225[[#This Row],[Ticker]]&amp; ( "US EQUITY")</f>
        <v>KRUS EQUITY</v>
      </c>
      <c r="D106" s="85">
        <v>0.40290565913793669</v>
      </c>
      <c r="E106" s="85">
        <v>0.59709434086206326</v>
      </c>
      <c r="F106" s="86">
        <f>_xlfn.XLOOKUP(Table225[[#This Row],[Ticker]],'R'!B:B,'R'!D:D,"not found")</f>
        <v>40770000000</v>
      </c>
      <c r="G106" s="87">
        <v>11.906470000000001</v>
      </c>
      <c r="H106" s="88">
        <v>7.9238179999999998</v>
      </c>
      <c r="I106" s="97">
        <v>2.0662430000000001</v>
      </c>
      <c r="J106" s="97">
        <v>-18.971769999999999</v>
      </c>
      <c r="K106" s="104">
        <v>-16.40165</v>
      </c>
      <c r="N106" s="4">
        <f>'R'!E104</f>
        <v>4.7016900482623816E-3</v>
      </c>
      <c r="O106" s="66">
        <f>N106*Table225[[#This Row],[2020]]</f>
        <v>5.5980531508934603E-2</v>
      </c>
      <c r="P106" s="3">
        <f>N106*Table225[[#This Row],[2019]]</f>
        <v>3.7255336234842326E-2</v>
      </c>
      <c r="Q106" s="4">
        <f>N106*Table225[[#This Row],[2018]]</f>
        <v>9.7148341503918087E-3</v>
      </c>
      <c r="R106" s="4">
        <f>N106*Table225[[#This Row],[2017]]</f>
        <v>-8.9199382206922806E-2</v>
      </c>
      <c r="S106" s="47">
        <f>N106*Table225[[#This Row],[2016]]</f>
        <v>-7.7115474580082694E-2</v>
      </c>
      <c r="V106" s="4">
        <f t="shared" si="2"/>
        <v>3.6363636363636364E-3</v>
      </c>
      <c r="W106" s="66">
        <f>V106*Table225[[#This Row],[2020]]</f>
        <v>4.3296254545454549E-2</v>
      </c>
      <c r="X106" s="3">
        <f>V106*Table225[[#This Row],[2019]]</f>
        <v>2.8813883636363637E-2</v>
      </c>
      <c r="Y106" s="4">
        <f>V106*Table225[[#This Row],[2018]]</f>
        <v>7.5136109090909089E-3</v>
      </c>
      <c r="Z106" s="4">
        <f>V106*Table225[[#This Row],[2017]]</f>
        <v>-6.8988254545454541E-2</v>
      </c>
      <c r="AA106" s="47">
        <f>V106*Table225[[#This Row],[2016]]</f>
        <v>-5.9642363636363639E-2</v>
      </c>
    </row>
    <row r="107" spans="1:27" x14ac:dyDescent="0.35">
      <c r="A107" s="83" t="s">
        <v>291</v>
      </c>
      <c r="B107" s="84" t="s">
        <v>788</v>
      </c>
      <c r="C107" s="84" t="str">
        <f>Table225[[#This Row],[Ticker]]&amp; ( "US EQUITY")</f>
        <v>ICEUS EQUITY</v>
      </c>
      <c r="D107" s="85">
        <v>2.3930604252679382E-2</v>
      </c>
      <c r="E107" s="85">
        <v>0.97606939574732066</v>
      </c>
      <c r="F107" s="86">
        <f>_xlfn.XLOOKUP(Table225[[#This Row],[Ticker]],'R'!B:B,'R'!D:D,"not found")</f>
        <v>30490000000</v>
      </c>
      <c r="G107" s="87">
        <v>26.189419999999998</v>
      </c>
      <c r="H107" s="88">
        <v>24.463519999999999</v>
      </c>
      <c r="I107" s="97">
        <v>8.1196070000000002</v>
      </c>
      <c r="J107" s="97">
        <v>26.604140000000001</v>
      </c>
      <c r="K107" s="104">
        <v>11.49821</v>
      </c>
      <c r="N107" s="4">
        <f>'R'!E105</f>
        <v>3.5161768352102037E-3</v>
      </c>
      <c r="O107" s="66">
        <f>N107*Table225[[#This Row],[2020]]</f>
        <v>9.2086631931590807E-2</v>
      </c>
      <c r="P107" s="3">
        <f>N107*Table225[[#This Row],[2019]]</f>
        <v>8.601806233170152E-2</v>
      </c>
      <c r="Q107" s="4">
        <f>N107*Table225[[#This Row],[2018]]</f>
        <v>2.8549974044410616E-2</v>
      </c>
      <c r="R107" s="4">
        <f>N107*Table225[[#This Row],[2017]]</f>
        <v>9.3544860788689191E-2</v>
      </c>
      <c r="S107" s="47">
        <f>N107*Table225[[#This Row],[2016]]</f>
        <v>4.0429739648382319E-2</v>
      </c>
      <c r="V107" s="4">
        <f t="shared" si="2"/>
        <v>3.6363636363636364E-3</v>
      </c>
      <c r="W107" s="66">
        <f>V107*Table225[[#This Row],[2020]]</f>
        <v>9.5234254545454533E-2</v>
      </c>
      <c r="X107" s="3">
        <f>V107*Table225[[#This Row],[2019]]</f>
        <v>8.8958254545454543E-2</v>
      </c>
      <c r="Y107" s="4">
        <f>V107*Table225[[#This Row],[2018]]</f>
        <v>2.9525843636363638E-2</v>
      </c>
      <c r="Z107" s="4">
        <f>V107*Table225[[#This Row],[2017]]</f>
        <v>9.6742327272727274E-2</v>
      </c>
      <c r="AA107" s="47">
        <f>V107*Table225[[#This Row],[2016]]</f>
        <v>4.1811672727272729E-2</v>
      </c>
    </row>
    <row r="108" spans="1:27" x14ac:dyDescent="0.35">
      <c r="A108" s="83" t="s">
        <v>391</v>
      </c>
      <c r="B108" s="84" t="s">
        <v>887</v>
      </c>
      <c r="C108" s="84" t="str">
        <f>Table225[[#This Row],[Ticker]]&amp; ( "US EQUITY")</f>
        <v>PSXUS EQUITY</v>
      </c>
      <c r="D108" s="85">
        <v>0.21860352793082324</v>
      </c>
      <c r="E108" s="85">
        <v>0.78139647206917673</v>
      </c>
      <c r="F108" s="86">
        <f>_xlfn.XLOOKUP(Table225[[#This Row],[Ticker]],'R'!B:B,'R'!D:D,"not found")</f>
        <v>43310000000</v>
      </c>
      <c r="G108" s="87">
        <v>-33.923859999999998</v>
      </c>
      <c r="H108" s="88">
        <v>33.994639999999997</v>
      </c>
      <c r="I108" s="97">
        <v>-12.29514</v>
      </c>
      <c r="J108" s="97">
        <v>20.9619</v>
      </c>
      <c r="K108" s="104">
        <v>8.9805240000000008</v>
      </c>
      <c r="N108" s="4">
        <f>'R'!E106</f>
        <v>4.9946086826157402E-3</v>
      </c>
      <c r="O108" s="66">
        <f>N108*Table225[[#This Row],[2020]]</f>
        <v>-0.1694364057038408</v>
      </c>
      <c r="P108" s="3">
        <f>N108*Table225[[#This Row],[2019]]</f>
        <v>0.16978992410639632</v>
      </c>
      <c r="Q108" s="4">
        <f>N108*Table225[[#This Row],[2018]]</f>
        <v>-6.1409412997976094E-2</v>
      </c>
      <c r="R108" s="4">
        <f>N108*Table225[[#This Row],[2017]]</f>
        <v>0.10469648774412288</v>
      </c>
      <c r="S108" s="47">
        <f>N108*Table225[[#This Row],[2016]]</f>
        <v>4.4854203144839039E-2</v>
      </c>
      <c r="V108" s="4">
        <f t="shared" si="2"/>
        <v>3.6363636363636364E-3</v>
      </c>
      <c r="W108" s="66">
        <f>V108*Table225[[#This Row],[2020]]</f>
        <v>-0.1233594909090909</v>
      </c>
      <c r="X108" s="3">
        <f>V108*Table225[[#This Row],[2019]]</f>
        <v>0.12361687272727272</v>
      </c>
      <c r="Y108" s="4">
        <f>V108*Table225[[#This Row],[2018]]</f>
        <v>-4.4709600000000002E-2</v>
      </c>
      <c r="Z108" s="4">
        <f>V108*Table225[[#This Row],[2017]]</f>
        <v>7.6225090909090909E-2</v>
      </c>
      <c r="AA108" s="47">
        <f>V108*Table225[[#This Row],[2016]]</f>
        <v>3.265645090909091E-2</v>
      </c>
    </row>
    <row r="109" spans="1:27" x14ac:dyDescent="0.35">
      <c r="A109" s="83" t="s">
        <v>120</v>
      </c>
      <c r="B109" s="84" t="s">
        <v>624</v>
      </c>
      <c r="C109" s="84" t="str">
        <f>Table225[[#This Row],[Ticker]]&amp; ( "US EQUITY")</f>
        <v>ADMUS EQUITY</v>
      </c>
      <c r="D109" s="85">
        <v>0.33989406648667586</v>
      </c>
      <c r="E109" s="85">
        <v>0.66010593351332414</v>
      </c>
      <c r="F109" s="86">
        <f>_xlfn.XLOOKUP(Table225[[#This Row],[Ticker]],'R'!B:B,'R'!D:D,"not found")</f>
        <v>21820000000</v>
      </c>
      <c r="G109" s="87">
        <v>12.466799999999999</v>
      </c>
      <c r="H109" s="88">
        <v>17.07685</v>
      </c>
      <c r="I109" s="97">
        <v>5.260599</v>
      </c>
      <c r="J109" s="97">
        <v>-9.4734189999999998</v>
      </c>
      <c r="K109" s="104">
        <v>28.396270000000001</v>
      </c>
      <c r="N109" s="4">
        <f>'R'!E107</f>
        <v>2.5163325203111397E-3</v>
      </c>
      <c r="O109" s="66">
        <f>N109*Table225[[#This Row],[2020]]</f>
        <v>3.1370614264214912E-2</v>
      </c>
      <c r="P109" s="3">
        <f>N109*Table225[[#This Row],[2019]]</f>
        <v>4.2971032999475287E-2</v>
      </c>
      <c r="Q109" s="4">
        <f>N109*Table225[[#This Row],[2018]]</f>
        <v>1.3237416340016262E-2</v>
      </c>
      <c r="R109" s="4">
        <f>N109*Table225[[#This Row],[2017]]</f>
        <v>-2.3838272308233436E-2</v>
      </c>
      <c r="S109" s="47">
        <f>N109*Table225[[#This Row],[2016]]</f>
        <v>7.1454457656535617E-2</v>
      </c>
      <c r="V109" s="4">
        <f t="shared" si="2"/>
        <v>3.6363636363636364E-3</v>
      </c>
      <c r="W109" s="66">
        <f>V109*Table225[[#This Row],[2020]]</f>
        <v>4.5333818181818177E-2</v>
      </c>
      <c r="X109" s="3">
        <f>V109*Table225[[#This Row],[2019]]</f>
        <v>6.2097636363636362E-2</v>
      </c>
      <c r="Y109" s="4">
        <f>V109*Table225[[#This Row],[2018]]</f>
        <v>1.9129450909090909E-2</v>
      </c>
      <c r="Z109" s="4">
        <f>V109*Table225[[#This Row],[2017]]</f>
        <v>-3.4448796363636361E-2</v>
      </c>
      <c r="AA109" s="47">
        <f>V109*Table225[[#This Row],[2016]]</f>
        <v>0.10325916363636364</v>
      </c>
    </row>
    <row r="110" spans="1:27" x14ac:dyDescent="0.35">
      <c r="A110" s="83" t="s">
        <v>296</v>
      </c>
      <c r="B110" s="84" t="s">
        <v>793</v>
      </c>
      <c r="C110" s="84" t="str">
        <f>Table225[[#This Row],[Ticker]]&amp; ( "US EQUITY")</f>
        <v>IVZUS EQUITY</v>
      </c>
      <c r="D110" s="85">
        <v>0.2862083685434762</v>
      </c>
      <c r="E110" s="85">
        <v>0.7137916314565238</v>
      </c>
      <c r="F110" s="86">
        <f>_xlfn.XLOOKUP(Table225[[#This Row],[Ticker]],'R'!B:B,'R'!D:D,"not found")</f>
        <v>13980000000</v>
      </c>
      <c r="G110" s="87">
        <v>3.01559</v>
      </c>
      <c r="H110" s="88">
        <v>14.98569</v>
      </c>
      <c r="I110" s="97">
        <v>-52.035600000000002</v>
      </c>
      <c r="J110" s="97">
        <v>24.66629</v>
      </c>
      <c r="K110" s="104">
        <v>-5.8670099999999996</v>
      </c>
      <c r="N110" s="4">
        <f>'R'!E108</f>
        <v>1.6122057119133699E-3</v>
      </c>
      <c r="O110" s="66">
        <f>N110*Table225[[#This Row],[2020]]</f>
        <v>4.8617514227888388E-3</v>
      </c>
      <c r="P110" s="3">
        <f>N110*Table225[[#This Row],[2019]]</f>
        <v>2.4160015014963069E-2</v>
      </c>
      <c r="Q110" s="4">
        <f>N110*Table225[[#This Row],[2018]]</f>
        <v>-8.3892091542839359E-2</v>
      </c>
      <c r="R110" s="4">
        <f>N110*Table225[[#This Row],[2017]]</f>
        <v>3.9767133629711633E-2</v>
      </c>
      <c r="S110" s="47">
        <f>N110*Table225[[#This Row],[2016]]</f>
        <v>-9.4588270338528593E-3</v>
      </c>
      <c r="V110" s="4">
        <f t="shared" si="2"/>
        <v>3.6363636363636364E-3</v>
      </c>
      <c r="W110" s="66">
        <f>V110*Table225[[#This Row],[2020]]</f>
        <v>1.0965781818181818E-2</v>
      </c>
      <c r="X110" s="3">
        <f>V110*Table225[[#This Row],[2019]]</f>
        <v>5.449341818181818E-2</v>
      </c>
      <c r="Y110" s="4">
        <f>V110*Table225[[#This Row],[2018]]</f>
        <v>-0.18922036363636363</v>
      </c>
      <c r="Z110" s="4">
        <f>V110*Table225[[#This Row],[2017]]</f>
        <v>8.96956E-2</v>
      </c>
      <c r="AA110" s="47">
        <f>V110*Table225[[#This Row],[2016]]</f>
        <v>-2.1334581818181816E-2</v>
      </c>
    </row>
    <row r="111" spans="1:27" x14ac:dyDescent="0.35">
      <c r="A111" s="83" t="s">
        <v>159</v>
      </c>
      <c r="B111" s="84" t="s">
        <v>663</v>
      </c>
      <c r="C111" s="84" t="str">
        <f>Table225[[#This Row],[Ticker]]&amp; ( "US EQUITY")</f>
        <v>CERNUS EQUITY</v>
      </c>
      <c r="D111" s="85">
        <v>0.33150719219698099</v>
      </c>
      <c r="E111" s="85">
        <v>0.66849280780301901</v>
      </c>
      <c r="F111" s="86">
        <f>_xlfn.XLOOKUP(Table225[[#This Row],[Ticker]],'R'!B:B,'R'!D:D,"not found")</f>
        <v>20580000000</v>
      </c>
      <c r="G111" s="87">
        <v>8.105969</v>
      </c>
      <c r="H111" s="88">
        <v>41.019199999999998</v>
      </c>
      <c r="I111" s="97">
        <v>-22.1843</v>
      </c>
      <c r="J111" s="97">
        <v>42.263030000000001</v>
      </c>
      <c r="K111" s="104">
        <v>-21.273050000000001</v>
      </c>
      <c r="N111" s="4">
        <f>'R'!E109</f>
        <v>2.3733328720441454E-3</v>
      </c>
      <c r="O111" s="66">
        <f>N111*Table225[[#This Row],[2020]]</f>
        <v>1.9238162687470809E-2</v>
      </c>
      <c r="P111" s="3">
        <f>N111*Table225[[#This Row],[2019]]</f>
        <v>9.7352215744953202E-2</v>
      </c>
      <c r="Q111" s="4">
        <f>N111*Table225[[#This Row],[2018]]</f>
        <v>-5.2650728433288933E-2</v>
      </c>
      <c r="R111" s="4">
        <f>N111*Table225[[#This Row],[2017]]</f>
        <v>0.10030423837118788</v>
      </c>
      <c r="S111" s="47">
        <f>N111*Table225[[#This Row],[2016]]</f>
        <v>-5.0488028853638713E-2</v>
      </c>
      <c r="V111" s="4">
        <f t="shared" si="2"/>
        <v>3.6363636363636364E-3</v>
      </c>
      <c r="W111" s="66">
        <f>V111*Table225[[#This Row],[2020]]</f>
        <v>2.9476250909090909E-2</v>
      </c>
      <c r="X111" s="3">
        <f>V111*Table225[[#This Row],[2019]]</f>
        <v>0.14916072727272728</v>
      </c>
      <c r="Y111" s="4">
        <f>V111*Table225[[#This Row],[2018]]</f>
        <v>-8.0670181818181821E-2</v>
      </c>
      <c r="Z111" s="4">
        <f>V111*Table225[[#This Row],[2017]]</f>
        <v>0.15368374545454547</v>
      </c>
      <c r="AA111" s="47">
        <f>V111*Table225[[#This Row],[2016]]</f>
        <v>-7.7356545454545456E-2</v>
      </c>
    </row>
    <row r="112" spans="1:27" x14ac:dyDescent="0.35">
      <c r="A112" s="83" t="s">
        <v>134</v>
      </c>
      <c r="B112" s="84" t="s">
        <v>638</v>
      </c>
      <c r="C112" s="84" t="str">
        <f>Table225[[#This Row],[Ticker]]&amp; ( "US EQUITY")</f>
        <v>BDXUS EQUITY</v>
      </c>
      <c r="D112" s="85">
        <v>0.47521965632532465</v>
      </c>
      <c r="E112" s="85">
        <v>0.52478034367467541</v>
      </c>
      <c r="F112" s="86">
        <f>_xlfn.XLOOKUP(Table225[[#This Row],[Ticker]],'R'!B:B,'R'!D:D,"not found")</f>
        <v>32640000000</v>
      </c>
      <c r="G112" s="87">
        <v>-6.7532779999999999</v>
      </c>
      <c r="H112" s="88">
        <v>22.20421</v>
      </c>
      <c r="I112" s="97">
        <v>6.6181179999999999</v>
      </c>
      <c r="J112" s="97">
        <v>31.234210000000001</v>
      </c>
      <c r="K112" s="104">
        <v>9.2277050000000003</v>
      </c>
      <c r="N112" s="4">
        <f>'R'!E110</f>
        <v>3.7641197737376532E-3</v>
      </c>
      <c r="O112" s="66">
        <f>N112*Table225[[#This Row],[2020]]</f>
        <v>-2.542014725734747E-2</v>
      </c>
      <c r="P112" s="3">
        <f>N112*Table225[[#This Row],[2019]]</f>
        <v>8.357930592122334E-2</v>
      </c>
      <c r="Q112" s="4">
        <f>N112*Table225[[#This Row],[2018]]</f>
        <v>2.4911388828729088E-2</v>
      </c>
      <c r="R112" s="4">
        <f>N112*Table225[[#This Row],[2017]]</f>
        <v>0.11756930747807434</v>
      </c>
      <c r="S112" s="47">
        <f>N112*Table225[[#This Row],[2016]]</f>
        <v>3.4734186856717815E-2</v>
      </c>
      <c r="V112" s="4">
        <f t="shared" si="2"/>
        <v>3.6363636363636364E-3</v>
      </c>
      <c r="W112" s="66">
        <f>V112*Table225[[#This Row],[2020]]</f>
        <v>-2.4557374545454546E-2</v>
      </c>
      <c r="X112" s="3">
        <f>V112*Table225[[#This Row],[2019]]</f>
        <v>8.0742581818181822E-2</v>
      </c>
      <c r="Y112" s="4">
        <f>V112*Table225[[#This Row],[2018]]</f>
        <v>2.4065883636363635E-2</v>
      </c>
      <c r="Z112" s="4">
        <f>V112*Table225[[#This Row],[2017]]</f>
        <v>0.11357894545454546</v>
      </c>
      <c r="AA112" s="47">
        <f>V112*Table225[[#This Row],[2016]]</f>
        <v>3.3555290909090908E-2</v>
      </c>
    </row>
    <row r="113" spans="1:27" x14ac:dyDescent="0.35">
      <c r="A113" s="83" t="s">
        <v>482</v>
      </c>
      <c r="B113" s="84" t="s">
        <v>968</v>
      </c>
      <c r="C113" s="84" t="str">
        <f>Table225[[#This Row],[Ticker]]&amp; ( "US EQUITY")</f>
        <v>VTRSUS EQUITY</v>
      </c>
      <c r="D113" s="85">
        <v>0.47442951642300019</v>
      </c>
      <c r="E113" s="85">
        <v>0.52557048357699976</v>
      </c>
      <c r="F113" s="86">
        <f>_xlfn.XLOOKUP(Table225[[#This Row],[Ticker]],'R'!B:B,'R'!D:D,"not found")</f>
        <v>26530000000</v>
      </c>
      <c r="G113" s="87">
        <v>-6.7661579999999999</v>
      </c>
      <c r="H113" s="88">
        <v>-26.64235</v>
      </c>
      <c r="I113" s="97">
        <v>-35.239890000000003</v>
      </c>
      <c r="J113" s="97">
        <v>10.904299999999999</v>
      </c>
      <c r="K113" s="104">
        <v>-29.44331</v>
      </c>
      <c r="N113" s="4">
        <f>'R'!E111</f>
        <v>3.0595005391317385E-3</v>
      </c>
      <c r="O113" s="66">
        <f>N113*Table225[[#This Row],[2020]]</f>
        <v>-2.0701064048850526E-2</v>
      </c>
      <c r="P113" s="3">
        <f>N113*Table225[[#This Row],[2019]]</f>
        <v>-8.1512284188736475E-2</v>
      </c>
      <c r="Q113" s="4">
        <f>N113*Table225[[#This Row],[2018]]</f>
        <v>-0.10781646245394316</v>
      </c>
      <c r="R113" s="4">
        <f>N113*Table225[[#This Row],[2017]]</f>
        <v>3.3361711728854215E-2</v>
      </c>
      <c r="S113" s="47">
        <f>N113*Table225[[#This Row],[2016]]</f>
        <v>-9.0081822818822904E-2</v>
      </c>
      <c r="V113" s="4">
        <f t="shared" si="2"/>
        <v>3.6363636363636364E-3</v>
      </c>
      <c r="W113" s="66">
        <f>V113*Table225[[#This Row],[2020]]</f>
        <v>-2.4604210909090908E-2</v>
      </c>
      <c r="X113" s="3">
        <f>V113*Table225[[#This Row],[2019]]</f>
        <v>-9.6881272727272733E-2</v>
      </c>
      <c r="Y113" s="4">
        <f>V113*Table225[[#This Row],[2018]]</f>
        <v>-0.12814505454545455</v>
      </c>
      <c r="Z113" s="4">
        <f>V113*Table225[[#This Row],[2017]]</f>
        <v>3.9652E-2</v>
      </c>
      <c r="AA113" s="47">
        <f>V113*Table225[[#This Row],[2016]]</f>
        <v>-0.10706658181818182</v>
      </c>
    </row>
    <row r="114" spans="1:27" x14ac:dyDescent="0.35">
      <c r="A114" s="83" t="s">
        <v>133</v>
      </c>
      <c r="B114" s="84" t="s">
        <v>637</v>
      </c>
      <c r="C114" s="84" t="str">
        <f>Table225[[#This Row],[Ticker]]&amp; ( "US EQUITY")</f>
        <v>BAXUS EQUITY</v>
      </c>
      <c r="D114" s="85">
        <v>0.45686225345219789</v>
      </c>
      <c r="E114" s="85">
        <v>0.54313774654780211</v>
      </c>
      <c r="F114" s="86">
        <f>_xlfn.XLOOKUP(Table225[[#This Row],[Ticker]],'R'!B:B,'R'!D:D,"not found")</f>
        <v>20890000000</v>
      </c>
      <c r="G114" s="87">
        <v>-2.940315</v>
      </c>
      <c r="H114" s="88">
        <v>28.393789999999999</v>
      </c>
      <c r="I114" s="97">
        <v>2.8924940000000001</v>
      </c>
      <c r="J114" s="97">
        <v>47.287080000000003</v>
      </c>
      <c r="K114" s="104">
        <v>17.580449999999999</v>
      </c>
      <c r="N114" s="4">
        <f>'R'!E112</f>
        <v>2.4090827841108937E-3</v>
      </c>
      <c r="O114" s="66">
        <f>N114*Table225[[#This Row],[2020]]</f>
        <v>-7.0834622463630224E-3</v>
      </c>
      <c r="P114" s="3">
        <f>N114*Table225[[#This Row],[2019]]</f>
        <v>6.8402990664660046E-2</v>
      </c>
      <c r="Q114" s="4">
        <f>N114*Table225[[#This Row],[2018]]</f>
        <v>6.9682574985440561E-3</v>
      </c>
      <c r="R114" s="4">
        <f>N114*Table225[[#This Row],[2017]]</f>
        <v>0.11391849033887456</v>
      </c>
      <c r="S114" s="47">
        <f>N114*Table225[[#This Row],[2016]]</f>
        <v>4.2352759431922363E-2</v>
      </c>
      <c r="V114" s="4">
        <f t="shared" si="2"/>
        <v>3.6363636363636364E-3</v>
      </c>
      <c r="W114" s="66">
        <f>V114*Table225[[#This Row],[2020]]</f>
        <v>-1.0692054545454546E-2</v>
      </c>
      <c r="X114" s="3">
        <f>V114*Table225[[#This Row],[2019]]</f>
        <v>0.10325014545454546</v>
      </c>
      <c r="Y114" s="4">
        <f>V114*Table225[[#This Row],[2018]]</f>
        <v>1.051816E-2</v>
      </c>
      <c r="Z114" s="4">
        <f>V114*Table225[[#This Row],[2017]]</f>
        <v>0.17195301818181818</v>
      </c>
      <c r="AA114" s="47">
        <f>V114*Table225[[#This Row],[2016]]</f>
        <v>6.3928909090909092E-2</v>
      </c>
    </row>
    <row r="115" spans="1:27" x14ac:dyDescent="0.35">
      <c r="A115" s="83" t="s">
        <v>486</v>
      </c>
      <c r="B115" s="84" t="s">
        <v>970</v>
      </c>
      <c r="C115" s="84" t="str">
        <f>Table225[[#This Row],[Ticker]]&amp; ( "US EQUITY")</f>
        <v>VMCUS EQUITY</v>
      </c>
      <c r="D115" s="85">
        <v>0.36556179858276172</v>
      </c>
      <c r="E115" s="85">
        <v>0.63443820141723828</v>
      </c>
      <c r="F115" s="86">
        <f>_xlfn.XLOOKUP(Table225[[#This Row],[Ticker]],'R'!B:B,'R'!D:D,"not found")</f>
        <v>12650000000</v>
      </c>
      <c r="G115" s="87">
        <v>4.1533110000000004</v>
      </c>
      <c r="H115" s="88">
        <v>47.145159999999997</v>
      </c>
      <c r="I115" s="97">
        <v>-22.28659</v>
      </c>
      <c r="J115" s="97">
        <v>3.4277440000000001</v>
      </c>
      <c r="K115" s="104">
        <v>32.70391</v>
      </c>
      <c r="N115" s="4">
        <f>'R'!E113</f>
        <v>1.4588270569173196E-3</v>
      </c>
      <c r="O115" s="66">
        <f>N115*Table225[[#This Row],[2020]]</f>
        <v>6.0589624625923301E-3</v>
      </c>
      <c r="P115" s="3">
        <f>N115*Table225[[#This Row],[2019]]</f>
        <v>6.8776635010696141E-2</v>
      </c>
      <c r="Q115" s="4">
        <f>N115*Table225[[#This Row],[2018]]</f>
        <v>-3.2512280498422967E-2</v>
      </c>
      <c r="R115" s="4">
        <f>N115*Table225[[#This Row],[2017]]</f>
        <v>5.0004856913860012E-3</v>
      </c>
      <c r="S115" s="47">
        <f>N115*Table225[[#This Row],[2016]]</f>
        <v>4.7709348774988898E-2</v>
      </c>
      <c r="V115" s="4">
        <f t="shared" si="2"/>
        <v>3.6363636363636364E-3</v>
      </c>
      <c r="W115" s="66">
        <f>V115*Table225[[#This Row],[2020]]</f>
        <v>1.5102949090909092E-2</v>
      </c>
      <c r="X115" s="3">
        <f>V115*Table225[[#This Row],[2019]]</f>
        <v>0.17143694545454544</v>
      </c>
      <c r="Y115" s="4">
        <f>V115*Table225[[#This Row],[2018]]</f>
        <v>-8.1042145454545453E-2</v>
      </c>
      <c r="Z115" s="4">
        <f>V115*Table225[[#This Row],[2017]]</f>
        <v>1.2464523636363637E-2</v>
      </c>
      <c r="AA115" s="47">
        <f>V115*Table225[[#This Row],[2016]]</f>
        <v>0.11892330909090909</v>
      </c>
    </row>
    <row r="116" spans="1:27" x14ac:dyDescent="0.35">
      <c r="A116" s="83" t="s">
        <v>320</v>
      </c>
      <c r="B116" s="84" t="s">
        <v>817</v>
      </c>
      <c r="C116" s="84" t="str">
        <f>Table225[[#This Row],[Ticker]]&amp; ( "US EQUITY")</f>
        <v>LBUS EQUITY</v>
      </c>
      <c r="D116" s="85">
        <v>0.19534408956206784</v>
      </c>
      <c r="E116" s="85">
        <v>0.80465591043793216</v>
      </c>
      <c r="F116" s="86">
        <f>_xlfn.XLOOKUP(Table225[[#This Row],[Ticker]],'R'!B:B,'R'!D:D,"not found")</f>
        <v>27730000000</v>
      </c>
      <c r="G116" s="87">
        <v>107.8719</v>
      </c>
      <c r="H116" s="88">
        <v>-25.279440000000001</v>
      </c>
      <c r="I116" s="97">
        <v>-54.2286</v>
      </c>
      <c r="J116" s="97">
        <v>-3.8573029999999999</v>
      </c>
      <c r="K116" s="104">
        <v>-27.26718</v>
      </c>
      <c r="N116" s="4">
        <f>'R'!E114</f>
        <v>3.1978872955191521E-3</v>
      </c>
      <c r="O116" s="66">
        <f>N116*Table225[[#This Row],[2020]]</f>
        <v>0.34496217855351241</v>
      </c>
      <c r="P116" s="3">
        <f>N116*Table225[[#This Row],[2019]]</f>
        <v>-8.0840800013838671E-2</v>
      </c>
      <c r="Q116" s="4">
        <f>N116*Table225[[#This Row],[2018]]</f>
        <v>-0.1734169509937899</v>
      </c>
      <c r="R116" s="4">
        <f>N116*Table225[[#This Row],[2017]]</f>
        <v>-1.2335220258667911E-2</v>
      </c>
      <c r="S116" s="47">
        <f>N116*Table225[[#This Row],[2016]]</f>
        <v>-8.7197368506633913E-2</v>
      </c>
      <c r="V116" s="4">
        <f t="shared" si="2"/>
        <v>3.6363636363636364E-3</v>
      </c>
      <c r="W116" s="66">
        <f>V116*Table225[[#This Row],[2020]]</f>
        <v>0.39226145454545452</v>
      </c>
      <c r="X116" s="3">
        <f>V116*Table225[[#This Row],[2019]]</f>
        <v>-9.1925236363636365E-2</v>
      </c>
      <c r="Y116" s="4">
        <f>V116*Table225[[#This Row],[2018]]</f>
        <v>-0.19719490909090909</v>
      </c>
      <c r="Z116" s="4">
        <f>V116*Table225[[#This Row],[2017]]</f>
        <v>-1.4026556363636363E-2</v>
      </c>
      <c r="AA116" s="47">
        <f>V116*Table225[[#This Row],[2016]]</f>
        <v>-9.9153381818181813E-2</v>
      </c>
    </row>
    <row r="117" spans="1:27" x14ac:dyDescent="0.35">
      <c r="A117" s="83" t="s">
        <v>450</v>
      </c>
      <c r="B117" s="84" t="s">
        <v>941</v>
      </c>
      <c r="C117" s="84" t="str">
        <f>Table225[[#This Row],[Ticker]]&amp; ( "US EQUITY")</f>
        <v>TXNUS EQUITY</v>
      </c>
      <c r="D117" s="85">
        <v>0.46769084573962622</v>
      </c>
      <c r="E117" s="85">
        <v>0.53230915426037373</v>
      </c>
      <c r="F117" s="86">
        <f>_xlfn.XLOOKUP(Table225[[#This Row],[Ticker]],'R'!B:B,'R'!D:D,"not found")</f>
        <v>55430000000</v>
      </c>
      <c r="G117" s="87">
        <v>31.739229999999999</v>
      </c>
      <c r="H117" s="88">
        <v>39.559570000000001</v>
      </c>
      <c r="I117" s="97">
        <v>-7.194191</v>
      </c>
      <c r="J117" s="97">
        <v>46.772039999999997</v>
      </c>
      <c r="K117" s="104">
        <v>36.720320000000001</v>
      </c>
      <c r="N117" s="4">
        <f>'R'!E115</f>
        <v>6.3923149221286188E-3</v>
      </c>
      <c r="O117" s="66">
        <f>N117*Table225[[#This Row],[2020]]</f>
        <v>0.20288715354587231</v>
      </c>
      <c r="P117" s="3">
        <f>N117*Table225[[#This Row],[2019]]</f>
        <v>0.25287722962399167</v>
      </c>
      <c r="Q117" s="4">
        <f>N117*Table225[[#This Row],[2018]]</f>
        <v>-4.5987534481943412E-2</v>
      </c>
      <c r="R117" s="4">
        <f>N117*Table225[[#This Row],[2017]]</f>
        <v>0.29898160923039663</v>
      </c>
      <c r="S117" s="47">
        <f>N117*Table225[[#This Row],[2016]]</f>
        <v>0.23472784948133796</v>
      </c>
      <c r="V117" s="4">
        <f t="shared" si="2"/>
        <v>3.6363636363636364E-3</v>
      </c>
      <c r="W117" s="66">
        <f>V117*Table225[[#This Row],[2020]]</f>
        <v>0.11541538181818181</v>
      </c>
      <c r="X117" s="3">
        <f>V117*Table225[[#This Row],[2019]]</f>
        <v>0.14385298181818182</v>
      </c>
      <c r="Y117" s="4">
        <f>V117*Table225[[#This Row],[2018]]</f>
        <v>-2.6160694545454544E-2</v>
      </c>
      <c r="Z117" s="4">
        <f>V117*Table225[[#This Row],[2017]]</f>
        <v>0.17008014545454544</v>
      </c>
      <c r="AA117" s="47">
        <f>V117*Table225[[#This Row],[2016]]</f>
        <v>0.13352843636363637</v>
      </c>
    </row>
    <row r="118" spans="1:27" x14ac:dyDescent="0.35">
      <c r="A118" s="83" t="s">
        <v>363</v>
      </c>
      <c r="B118" s="84" t="s">
        <v>859</v>
      </c>
      <c r="C118" s="84" t="str">
        <f>Table225[[#This Row],[Ticker]]&amp; ( "US EQUITY")</f>
        <v>NIUS EQUITY</v>
      </c>
      <c r="D118" s="85">
        <v>0.18003798212742839</v>
      </c>
      <c r="E118" s="85">
        <v>0.81996201787257161</v>
      </c>
      <c r="F118" s="86">
        <f>_xlfn.XLOOKUP(Table225[[#This Row],[Ticker]],'R'!B:B,'R'!D:D,"not found")</f>
        <v>6230000000</v>
      </c>
      <c r="G118" s="87">
        <v>-14.86009</v>
      </c>
      <c r="H118" s="88">
        <v>13.02406</v>
      </c>
      <c r="I118" s="97">
        <v>1.9248130000000001</v>
      </c>
      <c r="J118" s="97">
        <v>19.281169999999999</v>
      </c>
      <c r="K118" s="104">
        <v>16.69556</v>
      </c>
      <c r="N118" s="4">
        <f>'R'!E116</f>
        <v>7.1845791024465627E-4</v>
      </c>
      <c r="O118" s="66">
        <f>N118*Table225[[#This Row],[2020]]</f>
        <v>-1.0676349207447514E-2</v>
      </c>
      <c r="P118" s="3">
        <f>N118*Table225[[#This Row],[2019]]</f>
        <v>9.3572389305010186E-3</v>
      </c>
      <c r="Q118" s="4">
        <f>N118*Table225[[#This Row],[2018]]</f>
        <v>1.3828971255917476E-3</v>
      </c>
      <c r="R118" s="4">
        <f>N118*Table225[[#This Row],[2017]]</f>
        <v>1.3852709105271959E-2</v>
      </c>
      <c r="S118" s="47">
        <f>N118*Table225[[#This Row],[2016]]</f>
        <v>1.1995057147964274E-2</v>
      </c>
      <c r="V118" s="4">
        <f t="shared" si="2"/>
        <v>3.6363636363636364E-3</v>
      </c>
      <c r="W118" s="66">
        <f>V118*Table225[[#This Row],[2020]]</f>
        <v>-5.4036690909090905E-2</v>
      </c>
      <c r="X118" s="3">
        <f>V118*Table225[[#This Row],[2019]]</f>
        <v>4.7360218181818181E-2</v>
      </c>
      <c r="Y118" s="4">
        <f>V118*Table225[[#This Row],[2018]]</f>
        <v>6.9993200000000007E-3</v>
      </c>
      <c r="Z118" s="4">
        <f>V118*Table225[[#This Row],[2017]]</f>
        <v>7.011334545454545E-2</v>
      </c>
      <c r="AA118" s="47">
        <f>V118*Table225[[#This Row],[2016]]</f>
        <v>6.0711127272727275E-2</v>
      </c>
    </row>
    <row r="119" spans="1:27" x14ac:dyDescent="0.35">
      <c r="A119" s="83" t="s">
        <v>349</v>
      </c>
      <c r="B119" s="84" t="s">
        <v>846</v>
      </c>
      <c r="C119" s="84" t="str">
        <f>Table225[[#This Row],[Ticker]]&amp; ( "US EQUITY")</f>
        <v>TAPUS EQUITY</v>
      </c>
      <c r="D119" s="85">
        <v>0.19974789915966387</v>
      </c>
      <c r="E119" s="85">
        <v>0.80025210084033616</v>
      </c>
      <c r="F119" s="86">
        <f>_xlfn.XLOOKUP(Table225[[#This Row],[Ticker]],'R'!B:B,'R'!D:D,"not found")</f>
        <v>17330000000</v>
      </c>
      <c r="G119" s="87">
        <v>-15.164770000000001</v>
      </c>
      <c r="H119" s="88">
        <v>-0.4647791</v>
      </c>
      <c r="I119" s="97">
        <v>-29.88636</v>
      </c>
      <c r="J119" s="97">
        <v>-14.10868</v>
      </c>
      <c r="K119" s="104">
        <v>5.3534870000000003</v>
      </c>
      <c r="N119" s="4">
        <f>'R'!E117</f>
        <v>1.9985354068282331E-3</v>
      </c>
      <c r="O119" s="66">
        <f>N119*Table225[[#This Row],[2020]]</f>
        <v>-3.0307329781406586E-2</v>
      </c>
      <c r="P119" s="3">
        <f>N119*Table225[[#This Row],[2019]]</f>
        <v>-9.2887748770376002E-4</v>
      </c>
      <c r="Q119" s="4">
        <f>N119*Table225[[#This Row],[2018]]</f>
        <v>-5.9728948641215029E-2</v>
      </c>
      <c r="R119" s="4">
        <f>N119*Table225[[#This Row],[2017]]</f>
        <v>-2.8196696523609354E-2</v>
      </c>
      <c r="S119" s="47">
        <f>N119*Table225[[#This Row],[2016]]</f>
        <v>1.0699133319494658E-2</v>
      </c>
      <c r="V119" s="4">
        <f t="shared" si="2"/>
        <v>3.6363636363636364E-3</v>
      </c>
      <c r="W119" s="66">
        <f>V119*Table225[[#This Row],[2020]]</f>
        <v>-5.5144618181818185E-2</v>
      </c>
      <c r="X119" s="3">
        <f>V119*Table225[[#This Row],[2019]]</f>
        <v>-1.6901058181818182E-3</v>
      </c>
      <c r="Y119" s="4">
        <f>V119*Table225[[#This Row],[2018]]</f>
        <v>-0.10867767272727273</v>
      </c>
      <c r="Z119" s="4">
        <f>V119*Table225[[#This Row],[2017]]</f>
        <v>-5.1304290909090909E-2</v>
      </c>
      <c r="AA119" s="47">
        <f>V119*Table225[[#This Row],[2016]]</f>
        <v>1.9467225454545455E-2</v>
      </c>
    </row>
    <row r="120" spans="1:27" x14ac:dyDescent="0.35">
      <c r="A120" s="83" t="s">
        <v>314</v>
      </c>
      <c r="B120" s="84" t="s">
        <v>811</v>
      </c>
      <c r="C120" s="84" t="str">
        <f>Table225[[#This Row],[Ticker]]&amp; ( "US EQUITY")</f>
        <v>KHCUS EQUITY</v>
      </c>
      <c r="D120" s="85">
        <v>0.47577477084242686</v>
      </c>
      <c r="E120" s="85">
        <v>0.52422522915757308</v>
      </c>
      <c r="F120" s="86">
        <f>_xlfn.XLOOKUP(Table225[[#This Row],[Ticker]],'R'!B:B,'R'!D:D,"not found")</f>
        <v>88290000000</v>
      </c>
      <c r="G120" s="87">
        <v>14.142289999999999</v>
      </c>
      <c r="H120" s="88">
        <v>-21.08183</v>
      </c>
      <c r="I120" s="97">
        <v>-42.258620000000001</v>
      </c>
      <c r="J120" s="97">
        <v>-8.3980739999999994</v>
      </c>
      <c r="K120" s="104">
        <v>23.441800000000001</v>
      </c>
      <c r="N120" s="4">
        <f>'R'!E118</f>
        <v>1.0181805601203965E-2</v>
      </c>
      <c r="O120" s="66">
        <f>N120*Table225[[#This Row],[2020]]</f>
        <v>0.14399404753585082</v>
      </c>
      <c r="P120" s="3">
        <f>N120*Table225[[#This Row],[2019]]</f>
        <v>-0.21465109477762981</v>
      </c>
      <c r="Q120" s="4">
        <f>N120*Table225[[#This Row],[2018]]</f>
        <v>-0.4302690538151499</v>
      </c>
      <c r="R120" s="4">
        <f>N120*Table225[[#This Row],[2017]]</f>
        <v>-8.5507556892525385E-2</v>
      </c>
      <c r="S120" s="47">
        <f>N120*Table225[[#This Row],[2016]]</f>
        <v>0.23867985054230312</v>
      </c>
      <c r="V120" s="4">
        <f t="shared" si="2"/>
        <v>3.6363636363636364E-3</v>
      </c>
      <c r="W120" s="66">
        <f>V120*Table225[[#This Row],[2020]]</f>
        <v>5.1426509090909088E-2</v>
      </c>
      <c r="X120" s="3">
        <f>V120*Table225[[#This Row],[2019]]</f>
        <v>-7.6661199999999999E-2</v>
      </c>
      <c r="Y120" s="4">
        <f>V120*Table225[[#This Row],[2018]]</f>
        <v>-0.1536677090909091</v>
      </c>
      <c r="Z120" s="4">
        <f>V120*Table225[[#This Row],[2017]]</f>
        <v>-3.0538450909090908E-2</v>
      </c>
      <c r="AA120" s="47">
        <f>V120*Table225[[#This Row],[2016]]</f>
        <v>8.5242909090909091E-2</v>
      </c>
    </row>
    <row r="121" spans="1:27" x14ac:dyDescent="0.35">
      <c r="A121" s="83" t="s">
        <v>186</v>
      </c>
      <c r="B121" s="84" t="s">
        <v>688</v>
      </c>
      <c r="C121" s="84" t="str">
        <f>Table225[[#This Row],[Ticker]]&amp; ( "US EQUITY")</f>
        <v>COPUS EQUITY</v>
      </c>
      <c r="D121" s="85">
        <v>0.1086505109579879</v>
      </c>
      <c r="E121" s="85">
        <v>0.89134948904201206</v>
      </c>
      <c r="F121" s="86">
        <f>_xlfn.XLOOKUP(Table225[[#This Row],[Ticker]],'R'!B:B,'R'!D:D,"not found")</f>
        <v>57710000000</v>
      </c>
      <c r="G121" s="87">
        <v>-36.000419999999998</v>
      </c>
      <c r="H121" s="88">
        <v>6.6407319999999999</v>
      </c>
      <c r="I121" s="97">
        <v>15.624459999999999</v>
      </c>
      <c r="J121" s="97">
        <v>11.94276</v>
      </c>
      <c r="K121" s="104">
        <v>10.168290000000001</v>
      </c>
      <c r="N121" s="4">
        <f>'R'!E119</f>
        <v>6.6552497592647052E-3</v>
      </c>
      <c r="O121" s="66">
        <f>N121*Table225[[#This Row],[2020]]</f>
        <v>-0.23959178653842828</v>
      </c>
      <c r="P121" s="3">
        <f>N121*Table225[[#This Row],[2019]]</f>
        <v>4.4195730044341422E-2</v>
      </c>
      <c r="Q121" s="4">
        <f>N121*Table225[[#This Row],[2018]]</f>
        <v>0.10398468365364101</v>
      </c>
      <c r="R121" s="4">
        <f>N121*Table225[[#This Row],[2017]]</f>
        <v>7.9482050614956154E-2</v>
      </c>
      <c r="S121" s="47">
        <f>N121*Table225[[#This Row],[2016]]</f>
        <v>6.7672509574633707E-2</v>
      </c>
      <c r="V121" s="4">
        <f t="shared" si="2"/>
        <v>3.6363636363636364E-3</v>
      </c>
      <c r="W121" s="66">
        <f>V121*Table225[[#This Row],[2020]]</f>
        <v>-0.13091061818181818</v>
      </c>
      <c r="X121" s="3">
        <f>V121*Table225[[#This Row],[2019]]</f>
        <v>2.4148116363636365E-2</v>
      </c>
      <c r="Y121" s="4">
        <f>V121*Table225[[#This Row],[2018]]</f>
        <v>5.681621818181818E-2</v>
      </c>
      <c r="Z121" s="4">
        <f>V121*Table225[[#This Row],[2017]]</f>
        <v>4.3428218181818183E-2</v>
      </c>
      <c r="AA121" s="47">
        <f>V121*Table225[[#This Row],[2016]]</f>
        <v>3.6975600000000004E-2</v>
      </c>
    </row>
    <row r="122" spans="1:27" x14ac:dyDescent="0.35">
      <c r="A122" s="83" t="s">
        <v>406</v>
      </c>
      <c r="B122" s="84" t="s">
        <v>901</v>
      </c>
      <c r="C122" s="84" t="str">
        <f>Table225[[#This Row],[Ticker]]&amp; ( "US EQUITY")</f>
        <v>DGXUS EQUITY</v>
      </c>
      <c r="D122" s="85">
        <v>0.48796490558840361</v>
      </c>
      <c r="E122" s="85">
        <v>0.51203509441159645</v>
      </c>
      <c r="F122" s="86">
        <f>_xlfn.XLOOKUP(Table225[[#This Row],[Ticker]],'R'!B:B,'R'!D:D,"not found")</f>
        <v>10170000000</v>
      </c>
      <c r="G122" s="87">
        <v>14.035920000000001</v>
      </c>
      <c r="H122" s="88">
        <v>31.147950000000002</v>
      </c>
      <c r="I122" s="97">
        <v>-13.84137</v>
      </c>
      <c r="J122" s="97">
        <v>9.1584679999999992</v>
      </c>
      <c r="K122" s="104">
        <v>31.894649999999999</v>
      </c>
      <c r="N122" s="4">
        <f>'R'!E120</f>
        <v>1.1728277603833314E-3</v>
      </c>
      <c r="O122" s="66">
        <f>N122*Table225[[#This Row],[2020]]</f>
        <v>1.6461716618519608E-2</v>
      </c>
      <c r="P122" s="3">
        <f>N122*Table225[[#This Row],[2019]]</f>
        <v>3.6531180439031988E-2</v>
      </c>
      <c r="Q122" s="4">
        <f>N122*Table225[[#This Row],[2018]]</f>
        <v>-1.623354297773703E-2</v>
      </c>
      <c r="R122" s="4">
        <f>N122*Table225[[#This Row],[2017]]</f>
        <v>1.0741305512982408E-2</v>
      </c>
      <c r="S122" s="47">
        <f>N122*Table225[[#This Row],[2016]]</f>
        <v>3.7406930927710219E-2</v>
      </c>
      <c r="V122" s="4">
        <f t="shared" si="2"/>
        <v>3.6363636363636364E-3</v>
      </c>
      <c r="W122" s="66">
        <f>V122*Table225[[#This Row],[2020]]</f>
        <v>5.1039709090909095E-2</v>
      </c>
      <c r="X122" s="3">
        <f>V122*Table225[[#This Row],[2019]]</f>
        <v>0.11326527272727273</v>
      </c>
      <c r="Y122" s="4">
        <f>V122*Table225[[#This Row],[2018]]</f>
        <v>-5.0332254545454543E-2</v>
      </c>
      <c r="Z122" s="4">
        <f>V122*Table225[[#This Row],[2017]]</f>
        <v>3.3303519999999996E-2</v>
      </c>
      <c r="AA122" s="47">
        <f>V122*Table225[[#This Row],[2016]]</f>
        <v>0.11598054545454545</v>
      </c>
    </row>
    <row r="123" spans="1:27" x14ac:dyDescent="0.35">
      <c r="A123" s="83" t="s">
        <v>103</v>
      </c>
      <c r="B123" s="84" t="s">
        <v>607</v>
      </c>
      <c r="C123" s="84" t="str">
        <f>Table225[[#This Row],[Ticker]]&amp; ( "US EQUITY")</f>
        <v>AEPUS EQUITY</v>
      </c>
      <c r="D123" s="85">
        <v>0.18299885383890963</v>
      </c>
      <c r="E123" s="85">
        <v>0.81700114616109043</v>
      </c>
      <c r="F123" s="86">
        <f>_xlfn.XLOOKUP(Table225[[#This Row],[Ticker]],'R'!B:B,'R'!D:D,"not found")</f>
        <v>28610000000</v>
      </c>
      <c r="G123" s="87">
        <v>-9.0310100000000002</v>
      </c>
      <c r="H123" s="88">
        <v>30.526019999999999</v>
      </c>
      <c r="I123" s="97">
        <v>5.3917999999999999</v>
      </c>
      <c r="J123" s="97">
        <v>20.92867</v>
      </c>
      <c r="K123" s="104">
        <v>11.914300000000001</v>
      </c>
      <c r="N123" s="4">
        <f>'R'!E121</f>
        <v>3.2993709168699223E-3</v>
      </c>
      <c r="O123" s="66">
        <f>N123*Table225[[#This Row],[2020]]</f>
        <v>-2.9796651743961438E-2</v>
      </c>
      <c r="P123" s="3">
        <f>N123*Table225[[#This Row],[2019]]</f>
        <v>0.10071666259578958</v>
      </c>
      <c r="Q123" s="4">
        <f>N123*Table225[[#This Row],[2018]]</f>
        <v>1.7789548109579247E-2</v>
      </c>
      <c r="R123" s="4">
        <f>N123*Table225[[#This Row],[2017]]</f>
        <v>6.9051445126768043E-2</v>
      </c>
      <c r="S123" s="47">
        <f>N123*Table225[[#This Row],[2016]]</f>
        <v>3.9309694914863316E-2</v>
      </c>
      <c r="V123" s="4">
        <f t="shared" si="2"/>
        <v>3.6363636363636364E-3</v>
      </c>
      <c r="W123" s="66">
        <f>V123*Table225[[#This Row],[2020]]</f>
        <v>-3.2840036363636367E-2</v>
      </c>
      <c r="X123" s="3">
        <f>V123*Table225[[#This Row],[2019]]</f>
        <v>0.11100370909090909</v>
      </c>
      <c r="Y123" s="4">
        <f>V123*Table225[[#This Row],[2018]]</f>
        <v>1.9606545454545453E-2</v>
      </c>
      <c r="Z123" s="4">
        <f>V123*Table225[[#This Row],[2017]]</f>
        <v>7.6104254545454553E-2</v>
      </c>
      <c r="AA123" s="47">
        <f>V123*Table225[[#This Row],[2016]]</f>
        <v>4.3324727272727279E-2</v>
      </c>
    </row>
    <row r="124" spans="1:27" x14ac:dyDescent="0.35">
      <c r="A124" s="83" t="s">
        <v>272</v>
      </c>
      <c r="B124" s="84" t="s">
        <v>770</v>
      </c>
      <c r="C124" s="84" t="str">
        <f>Table225[[#This Row],[Ticker]]&amp; ( "US EQUITY")</f>
        <v>HESUS EQUITY</v>
      </c>
      <c r="D124" s="85">
        <v>0.10654066195586098</v>
      </c>
      <c r="E124" s="85">
        <v>0.89345933804413902</v>
      </c>
      <c r="F124" s="86">
        <f>_xlfn.XLOOKUP(Table225[[#This Row],[Ticker]],'R'!B:B,'R'!D:D,"not found")</f>
        <v>13870000000</v>
      </c>
      <c r="G124" s="87">
        <v>-19.188960000000002</v>
      </c>
      <c r="H124" s="88">
        <v>67.722570000000005</v>
      </c>
      <c r="I124" s="97">
        <v>-13.139760000000001</v>
      </c>
      <c r="J124" s="97">
        <v>-22.067399999999999</v>
      </c>
      <c r="K124" s="104">
        <v>30.899539999999998</v>
      </c>
      <c r="N124" s="4">
        <f>'R'!E122</f>
        <v>1.5995202592445235E-3</v>
      </c>
      <c r="O124" s="66">
        <f>N124*Table225[[#This Row],[2020]]</f>
        <v>-3.0693130273832796E-2</v>
      </c>
      <c r="P124" s="3">
        <f>N124*Table225[[#This Row],[2019]]</f>
        <v>0.1083236227231054</v>
      </c>
      <c r="Q124" s="4">
        <f>N124*Table225[[#This Row],[2018]]</f>
        <v>-2.1017312321610821E-2</v>
      </c>
      <c r="R124" s="4">
        <f>N124*Table225[[#This Row],[2017]]</f>
        <v>-3.5297253368852595E-2</v>
      </c>
      <c r="S124" s="47">
        <f>N124*Table225[[#This Row],[2016]]</f>
        <v>4.9424440231336519E-2</v>
      </c>
      <c r="V124" s="4">
        <f t="shared" si="2"/>
        <v>3.6363636363636364E-3</v>
      </c>
      <c r="W124" s="66">
        <f>V124*Table225[[#This Row],[2020]]</f>
        <v>-6.9778036363636373E-2</v>
      </c>
      <c r="X124" s="3">
        <f>V124*Table225[[#This Row],[2019]]</f>
        <v>0.24626389090909093</v>
      </c>
      <c r="Y124" s="4">
        <f>V124*Table225[[#This Row],[2018]]</f>
        <v>-4.7780945454545455E-2</v>
      </c>
      <c r="Z124" s="4">
        <f>V124*Table225[[#This Row],[2017]]</f>
        <v>-8.0245090909090905E-2</v>
      </c>
      <c r="AA124" s="47">
        <f>V124*Table225[[#This Row],[2016]]</f>
        <v>0.11236196363636362</v>
      </c>
    </row>
    <row r="125" spans="1:27" x14ac:dyDescent="0.35">
      <c r="A125" s="83" t="s">
        <v>323</v>
      </c>
      <c r="B125" s="84" t="s">
        <v>820</v>
      </c>
      <c r="C125" s="84" t="str">
        <f>Table225[[#This Row],[Ticker]]&amp; ( "US EQUITY")</f>
        <v>LNCUS EQUITY</v>
      </c>
      <c r="D125" s="85">
        <v>0.45703544575725025</v>
      </c>
      <c r="E125" s="85">
        <v>0.5429645542427497</v>
      </c>
      <c r="F125" s="86">
        <f>_xlfn.XLOOKUP(Table225[[#This Row],[Ticker]],'R'!B:B,'R'!D:D,"not found")</f>
        <v>12260000000</v>
      </c>
      <c r="G125" s="87">
        <v>-11.12093</v>
      </c>
      <c r="H125" s="88">
        <v>17.936540000000001</v>
      </c>
      <c r="I125" s="97">
        <v>-31.999870000000001</v>
      </c>
      <c r="J125" s="97">
        <v>17.95241</v>
      </c>
      <c r="K125" s="104">
        <v>35.042430000000003</v>
      </c>
      <c r="N125" s="4">
        <f>'R'!E123</f>
        <v>1.4138513610914103E-3</v>
      </c>
      <c r="O125" s="66">
        <f>N125*Table225[[#This Row],[2020]]</f>
        <v>-1.5723342017102297E-2</v>
      </c>
      <c r="P125" s="3">
        <f>N125*Table225[[#This Row],[2019]]</f>
        <v>2.5359601492270525E-2</v>
      </c>
      <c r="Q125" s="4">
        <f>N125*Table225[[#This Row],[2018]]</f>
        <v>-4.5243059754248187E-2</v>
      </c>
      <c r="R125" s="4">
        <f>N125*Table225[[#This Row],[2017]]</f>
        <v>2.5382039313371046E-2</v>
      </c>
      <c r="S125" s="47">
        <f>N125*Table225[[#This Row],[2016]]</f>
        <v>4.9544787351450473E-2</v>
      </c>
      <c r="V125" s="4">
        <f t="shared" si="2"/>
        <v>3.6363636363636364E-3</v>
      </c>
      <c r="W125" s="66">
        <f>V125*Table225[[#This Row],[2020]]</f>
        <v>-4.0439745454545456E-2</v>
      </c>
      <c r="X125" s="3">
        <f>V125*Table225[[#This Row],[2019]]</f>
        <v>6.5223781818181822E-2</v>
      </c>
      <c r="Y125" s="4">
        <f>V125*Table225[[#This Row],[2018]]</f>
        <v>-0.11636316363636365</v>
      </c>
      <c r="Z125" s="4">
        <f>V125*Table225[[#This Row],[2017]]</f>
        <v>6.5281490909090911E-2</v>
      </c>
      <c r="AA125" s="47">
        <f>V125*Table225[[#This Row],[2016]]</f>
        <v>0.1274270181818182</v>
      </c>
    </row>
    <row r="126" spans="1:27" x14ac:dyDescent="0.35">
      <c r="A126" s="83" t="s">
        <v>101</v>
      </c>
      <c r="B126" s="84" t="s">
        <v>605</v>
      </c>
      <c r="C126" s="84" t="str">
        <f>Table225[[#This Row],[Ticker]]&amp; ( "US EQUITY")</f>
        <v>AEEUS EQUITY</v>
      </c>
      <c r="D126" s="85">
        <v>0.26123394578666981</v>
      </c>
      <c r="E126" s="85">
        <v>0.73876605421333019</v>
      </c>
      <c r="F126" s="86">
        <f>_xlfn.XLOOKUP(Table225[[#This Row],[Ticker]],'R'!B:B,'R'!D:D,"not found")</f>
        <v>10490000000</v>
      </c>
      <c r="G126" s="87">
        <v>4.2709109999999999</v>
      </c>
      <c r="H126" s="88">
        <v>20.821149999999999</v>
      </c>
      <c r="I126" s="97">
        <v>13.975490000000001</v>
      </c>
      <c r="J126" s="97">
        <v>15.95818</v>
      </c>
      <c r="K126" s="104">
        <v>25.663509999999999</v>
      </c>
      <c r="N126" s="4">
        <f>'R'!E124</f>
        <v>1.2097308954199749E-3</v>
      </c>
      <c r="O126" s="66">
        <f>N126*Table225[[#This Row],[2020]]</f>
        <v>5.1666529882890208E-3</v>
      </c>
      <c r="P126" s="3">
        <f>N126*Table225[[#This Row],[2019]]</f>
        <v>2.518798843317361E-2</v>
      </c>
      <c r="Q126" s="4">
        <f>N126*Table225[[#This Row],[2018]]</f>
        <v>1.6906582031632908E-2</v>
      </c>
      <c r="R126" s="4">
        <f>N126*Table225[[#This Row],[2017]]</f>
        <v>1.9305103380673136E-2</v>
      </c>
      <c r="S126" s="47">
        <f>N126*Table225[[#This Row],[2016]]</f>
        <v>3.104594093191948E-2</v>
      </c>
      <c r="V126" s="4">
        <f t="shared" si="2"/>
        <v>3.6363636363636364E-3</v>
      </c>
      <c r="W126" s="66">
        <f>V126*Table225[[#This Row],[2020]]</f>
        <v>1.5530585454545455E-2</v>
      </c>
      <c r="X126" s="3">
        <f>V126*Table225[[#This Row],[2019]]</f>
        <v>7.5713272727272726E-2</v>
      </c>
      <c r="Y126" s="4">
        <f>V126*Table225[[#This Row],[2018]]</f>
        <v>5.0819963636363638E-2</v>
      </c>
      <c r="Z126" s="4">
        <f>V126*Table225[[#This Row],[2017]]</f>
        <v>5.8029745454545457E-2</v>
      </c>
      <c r="AA126" s="47">
        <f>V126*Table225[[#This Row],[2016]]</f>
        <v>9.3321854545454538E-2</v>
      </c>
    </row>
    <row r="127" spans="1:27" x14ac:dyDescent="0.35">
      <c r="A127" s="83" t="s">
        <v>445</v>
      </c>
      <c r="B127" s="84" t="s">
        <v>936</v>
      </c>
      <c r="C127" s="84" t="str">
        <f>Table225[[#This Row],[Ticker]]&amp; ( "US EQUITY")</f>
        <v>TELUS EQUITY</v>
      </c>
      <c r="D127" s="85">
        <v>0.42273799180836541</v>
      </c>
      <c r="E127" s="85">
        <v>0.57726200819163465</v>
      </c>
      <c r="F127" s="86">
        <f>_xlfn.XLOOKUP(Table225[[#This Row],[Ticker]],'R'!B:B,'R'!D:D,"not found")</f>
        <v>24270000000</v>
      </c>
      <c r="G127" s="87">
        <v>28.966560000000001</v>
      </c>
      <c r="H127" s="88">
        <v>29.375170000000001</v>
      </c>
      <c r="I127" s="97">
        <v>-18.87473</v>
      </c>
      <c r="J127" s="97">
        <v>39.869630000000001</v>
      </c>
      <c r="K127" s="104">
        <v>9.7642310000000005</v>
      </c>
      <c r="N127" s="4">
        <f>'R'!E125</f>
        <v>2.7988721479354425E-3</v>
      </c>
      <c r="O127" s="66">
        <f>N127*Table225[[#This Row],[2020]]</f>
        <v>8.1073698005500877E-2</v>
      </c>
      <c r="P127" s="3">
        <f>N127*Table225[[#This Row],[2019]]</f>
        <v>8.2217345153868776E-2</v>
      </c>
      <c r="Q127" s="4">
        <f>N127*Table225[[#This Row],[2018]]</f>
        <v>-5.2827956096801534E-2</v>
      </c>
      <c r="R127" s="4">
        <f>N127*Table225[[#This Row],[2017]]</f>
        <v>0.11158999695549136</v>
      </c>
      <c r="S127" s="47">
        <f>N127*Table225[[#This Row],[2016]]</f>
        <v>2.7328834191907837E-2</v>
      </c>
      <c r="V127" s="4">
        <f t="shared" si="2"/>
        <v>3.6363636363636364E-3</v>
      </c>
      <c r="W127" s="66">
        <f>V127*Table225[[#This Row],[2020]]</f>
        <v>0.10533294545454545</v>
      </c>
      <c r="X127" s="3">
        <f>V127*Table225[[#This Row],[2019]]</f>
        <v>0.10681880000000001</v>
      </c>
      <c r="Y127" s="4">
        <f>V127*Table225[[#This Row],[2018]]</f>
        <v>-6.8635381818181823E-2</v>
      </c>
      <c r="Z127" s="4">
        <f>V127*Table225[[#This Row],[2017]]</f>
        <v>0.14498047272727274</v>
      </c>
      <c r="AA127" s="47">
        <f>V127*Table225[[#This Row],[2016]]</f>
        <v>3.550629454545455E-2</v>
      </c>
    </row>
    <row r="128" spans="1:27" x14ac:dyDescent="0.35">
      <c r="A128" s="83" t="s">
        <v>498</v>
      </c>
      <c r="B128" s="84" t="s">
        <v>982</v>
      </c>
      <c r="C128" s="84" t="str">
        <f>Table225[[#This Row],[Ticker]]&amp; ( "US EQUITY")</f>
        <v>WRKUS EQUITY</v>
      </c>
      <c r="D128" s="85">
        <v>0.17202153848171334</v>
      </c>
      <c r="E128" s="85">
        <v>0.82797846151828669</v>
      </c>
      <c r="F128" s="86">
        <f>_xlfn.XLOOKUP(Table225[[#This Row],[Ticker]],'R'!B:B,'R'!D:D,"not found")</f>
        <v>11630000000</v>
      </c>
      <c r="G128" s="87">
        <v>4.6265130000000001</v>
      </c>
      <c r="H128" s="88">
        <v>19.285319999999999</v>
      </c>
      <c r="I128" s="97">
        <v>-38.356200000000001</v>
      </c>
      <c r="J128" s="97">
        <v>28.181059999999999</v>
      </c>
      <c r="K128" s="104">
        <v>28.159770000000002</v>
      </c>
      <c r="N128" s="4">
        <f>'R'!E126</f>
        <v>1.3411983139880179E-3</v>
      </c>
      <c r="O128" s="66">
        <f>N128*Table225[[#This Row],[2020]]</f>
        <v>6.2050714352436471E-3</v>
      </c>
      <c r="P128" s="3">
        <f>N128*Table225[[#This Row],[2019]]</f>
        <v>2.58654386687194E-2</v>
      </c>
      <c r="Q128" s="4">
        <f>N128*Table225[[#This Row],[2018]]</f>
        <v>-5.1443270770987218E-2</v>
      </c>
      <c r="R128" s="4">
        <f>N128*Table225[[#This Row],[2017]]</f>
        <v>3.7796390158395171E-2</v>
      </c>
      <c r="S128" s="47">
        <f>N128*Table225[[#This Row],[2016]]</f>
        <v>3.7767836046290366E-2</v>
      </c>
      <c r="V128" s="4">
        <f t="shared" si="2"/>
        <v>3.6363636363636364E-3</v>
      </c>
      <c r="W128" s="66">
        <f>V128*Table225[[#This Row],[2020]]</f>
        <v>1.6823683636363638E-2</v>
      </c>
      <c r="X128" s="3">
        <f>V128*Table225[[#This Row],[2019]]</f>
        <v>7.0128436363636359E-2</v>
      </c>
      <c r="Y128" s="4">
        <f>V128*Table225[[#This Row],[2018]]</f>
        <v>-0.13947709090909091</v>
      </c>
      <c r="Z128" s="4">
        <f>V128*Table225[[#This Row],[2017]]</f>
        <v>0.10247658181818181</v>
      </c>
      <c r="AA128" s="47">
        <f>V128*Table225[[#This Row],[2016]]</f>
        <v>0.10239916363636364</v>
      </c>
    </row>
    <row r="129" spans="1:27" x14ac:dyDescent="0.35">
      <c r="A129" s="83" t="s">
        <v>43</v>
      </c>
      <c r="B129" s="84" t="s">
        <v>553</v>
      </c>
      <c r="C129" s="84" t="str">
        <f>Table225[[#This Row],[Ticker]]&amp; ( "US EQUITY")</f>
        <v>CEUS EQUITY</v>
      </c>
      <c r="D129" s="85">
        <v>0.40379333575167126</v>
      </c>
      <c r="E129" s="85">
        <v>0.5962066642483288</v>
      </c>
      <c r="F129" s="86">
        <f>_xlfn.XLOOKUP(Table225[[#This Row],[Ticker]],'R'!B:B,'R'!D:D,"not found")</f>
        <v>9880000000</v>
      </c>
      <c r="G129" s="87">
        <v>8.2648159999999997</v>
      </c>
      <c r="H129" s="88">
        <v>39.8354</v>
      </c>
      <c r="I129" s="97">
        <v>-14.310510000000001</v>
      </c>
      <c r="J129" s="97">
        <v>38.526739999999997</v>
      </c>
      <c r="K129" s="104">
        <v>19.411989999999999</v>
      </c>
      <c r="N129" s="4">
        <f>'R'!E127</f>
        <v>1.139384294256373E-3</v>
      </c>
      <c r="O129" s="66">
        <f>N129*Table225[[#This Row],[2020]]</f>
        <v>9.4168015453187787E-3</v>
      </c>
      <c r="P129" s="3">
        <f>N129*Table225[[#This Row],[2019]]</f>
        <v>4.5387829115420317E-2</v>
      </c>
      <c r="Q129" s="4">
        <f>N129*Table225[[#This Row],[2018]]</f>
        <v>-1.630517033679877E-2</v>
      </c>
      <c r="R129" s="4">
        <f>N129*Table225[[#This Row],[2017]]</f>
        <v>4.3896762464898771E-2</v>
      </c>
      <c r="S129" s="47">
        <f>N129*Table225[[#This Row],[2016]]</f>
        <v>2.2117716526261769E-2</v>
      </c>
      <c r="V129" s="4">
        <f t="shared" si="2"/>
        <v>3.6363636363636364E-3</v>
      </c>
      <c r="W129" s="66">
        <f>V129*Table225[[#This Row],[2020]]</f>
        <v>3.0053876363636364E-2</v>
      </c>
      <c r="X129" s="3">
        <f>V129*Table225[[#This Row],[2019]]</f>
        <v>0.14485600000000001</v>
      </c>
      <c r="Y129" s="4">
        <f>V129*Table225[[#This Row],[2018]]</f>
        <v>-5.2038218181818183E-2</v>
      </c>
      <c r="Z129" s="4">
        <f>V129*Table225[[#This Row],[2017]]</f>
        <v>0.14009723636363636</v>
      </c>
      <c r="AA129" s="47">
        <f>V129*Table225[[#This Row],[2016]]</f>
        <v>7.0589054545454541E-2</v>
      </c>
    </row>
    <row r="130" spans="1:27" x14ac:dyDescent="0.35">
      <c r="A130" s="83" t="s">
        <v>182</v>
      </c>
      <c r="B130" s="84" t="s">
        <v>686</v>
      </c>
      <c r="C130" s="84" t="str">
        <f>Table225[[#This Row],[Ticker]]&amp; ( "US EQUITY")</f>
        <v>CMAUS EQUITY</v>
      </c>
      <c r="D130" s="85">
        <v>0.20967870334225638</v>
      </c>
      <c r="E130" s="85">
        <v>0.79032129665774364</v>
      </c>
      <c r="F130" s="86">
        <f>_xlfn.XLOOKUP(Table225[[#This Row],[Ticker]],'R'!B:B,'R'!D:D,"not found")</f>
        <v>7350000000</v>
      </c>
      <c r="G130" s="87">
        <v>-16.836279999999999</v>
      </c>
      <c r="H130" s="88">
        <v>8.4205509999999997</v>
      </c>
      <c r="I130" s="97">
        <v>-19.14209</v>
      </c>
      <c r="J130" s="97">
        <v>29.338999999999999</v>
      </c>
      <c r="K130" s="104">
        <v>65.945089999999993</v>
      </c>
      <c r="N130" s="4">
        <f>'R'!E128</f>
        <v>8.4761888287290907E-4</v>
      </c>
      <c r="O130" s="66">
        <f>N130*Table225[[#This Row],[2020]]</f>
        <v>-1.4270748845335501E-2</v>
      </c>
      <c r="P130" s="3">
        <f>N130*Table225[[#This Row],[2019]]</f>
        <v>7.1374180317943575E-3</v>
      </c>
      <c r="Q130" s="4">
        <f>N130*Table225[[#This Row],[2018]]</f>
        <v>-1.6225196941652684E-2</v>
      </c>
      <c r="R130" s="4">
        <f>N130*Table225[[#This Row],[2017]]</f>
        <v>2.4868290404608279E-2</v>
      </c>
      <c r="S130" s="47">
        <f>N130*Table225[[#This Row],[2016]]</f>
        <v>5.589630351675344E-2</v>
      </c>
      <c r="V130" s="4">
        <f t="shared" si="2"/>
        <v>3.6363636363636364E-3</v>
      </c>
      <c r="W130" s="66">
        <f>V130*Table225[[#This Row],[2020]]</f>
        <v>-6.122283636363636E-2</v>
      </c>
      <c r="X130" s="3">
        <f>V130*Table225[[#This Row],[2019]]</f>
        <v>3.0620185454545455E-2</v>
      </c>
      <c r="Y130" s="4">
        <f>V130*Table225[[#This Row],[2018]]</f>
        <v>-6.9607599999999992E-2</v>
      </c>
      <c r="Z130" s="4">
        <f>V130*Table225[[#This Row],[2017]]</f>
        <v>0.10668727272727273</v>
      </c>
      <c r="AA130" s="47">
        <f>V130*Table225[[#This Row],[2016]]</f>
        <v>0.23980032727272724</v>
      </c>
    </row>
    <row r="131" spans="1:27" x14ac:dyDescent="0.35">
      <c r="A131" s="83" t="s">
        <v>501</v>
      </c>
      <c r="B131" s="84" t="s">
        <v>985</v>
      </c>
      <c r="C131" s="84" t="str">
        <f>Table225[[#This Row],[Ticker]]&amp; ( "US EQUITY")</f>
        <v>WMBUS EQUITY</v>
      </c>
      <c r="D131" s="85">
        <v>0.12566138422590159</v>
      </c>
      <c r="E131" s="85">
        <v>0.87433861577409844</v>
      </c>
      <c r="F131" s="86">
        <f>_xlfn.XLOOKUP(Table225[[#This Row],[Ticker]],'R'!B:B,'R'!D:D,"not found")</f>
        <v>19250000000</v>
      </c>
      <c r="G131" s="87">
        <v>-7.5972980000000003</v>
      </c>
      <c r="H131" s="88">
        <v>14.21044</v>
      </c>
      <c r="I131" s="97">
        <v>-23.878599999999999</v>
      </c>
      <c r="J131" s="97">
        <v>2.044845</v>
      </c>
      <c r="K131" s="104">
        <v>31.374040000000001</v>
      </c>
      <c r="N131" s="4">
        <f>'R'!E129</f>
        <v>2.2199542170480953E-3</v>
      </c>
      <c r="O131" s="66">
        <f>N131*Table225[[#This Row],[2020]]</f>
        <v>-1.686565373327106E-2</v>
      </c>
      <c r="P131" s="3">
        <f>N131*Table225[[#This Row],[2019]]</f>
        <v>3.1546526204108936E-2</v>
      </c>
      <c r="Q131" s="4">
        <f>N131*Table225[[#This Row],[2018]]</f>
        <v>-5.3009398767204646E-2</v>
      </c>
      <c r="R131" s="4">
        <f>N131*Table225[[#This Row],[2017]]</f>
        <v>4.5394622809597123E-3</v>
      </c>
      <c r="S131" s="47">
        <f>N131*Table225[[#This Row],[2016]]</f>
        <v>6.9648932403835628E-2</v>
      </c>
      <c r="V131" s="4">
        <f t="shared" si="2"/>
        <v>3.6363636363636364E-3</v>
      </c>
      <c r="W131" s="66">
        <f>V131*Table225[[#This Row],[2020]]</f>
        <v>-2.7626538181818185E-2</v>
      </c>
      <c r="X131" s="3">
        <f>V131*Table225[[#This Row],[2019]]</f>
        <v>5.167432727272727E-2</v>
      </c>
      <c r="Y131" s="4">
        <f>V131*Table225[[#This Row],[2018]]</f>
        <v>-8.6831272727272729E-2</v>
      </c>
      <c r="Z131" s="4">
        <f>V131*Table225[[#This Row],[2017]]</f>
        <v>7.4358000000000002E-3</v>
      </c>
      <c r="AA131" s="47">
        <f>V131*Table225[[#This Row],[2016]]</f>
        <v>0.11408741818181818</v>
      </c>
    </row>
    <row r="132" spans="1:27" x14ac:dyDescent="0.35">
      <c r="A132" s="83" t="s">
        <v>317</v>
      </c>
      <c r="B132" s="84" t="s">
        <v>814</v>
      </c>
      <c r="C132" s="84" t="str">
        <f>Table225[[#This Row],[Ticker]]&amp; ( "US EQUITY")</f>
        <v>LHUS EQUITY</v>
      </c>
      <c r="D132" s="85">
        <v>0.38977683956574188</v>
      </c>
      <c r="E132" s="85">
        <v>0.61022316043425817</v>
      </c>
      <c r="F132" s="86">
        <f>_xlfn.XLOOKUP(Table225[[#This Row],[Ticker]],'R'!B:B,'R'!D:D,"not found")</f>
        <v>12520000000</v>
      </c>
      <c r="G132" s="87">
        <v>20.322749999999999</v>
      </c>
      <c r="H132" s="88">
        <v>33.879390000000001</v>
      </c>
      <c r="I132" s="97">
        <v>-20.782399999999999</v>
      </c>
      <c r="J132" s="97">
        <v>24.248329999999999</v>
      </c>
      <c r="K132" s="104">
        <v>3.8337110000000001</v>
      </c>
      <c r="N132" s="4">
        <f>'R'!E130</f>
        <v>1.4438351583086831E-3</v>
      </c>
      <c r="O132" s="66">
        <f>N132*Table225[[#This Row],[2020]]</f>
        <v>2.9342700963517789E-2</v>
      </c>
      <c r="P132" s="3">
        <f>N132*Table225[[#This Row],[2019]]</f>
        <v>4.8916254424051613E-2</v>
      </c>
      <c r="Q132" s="4">
        <f>N132*Table225[[#This Row],[2018]]</f>
        <v>-3.0006359794034373E-2</v>
      </c>
      <c r="R132" s="4">
        <f>N132*Table225[[#This Row],[2017]]</f>
        <v>3.5010591384271185E-2</v>
      </c>
      <c r="S132" s="47">
        <f>N132*Table225[[#This Row],[2016]]</f>
        <v>5.5352467285947398E-3</v>
      </c>
      <c r="V132" s="4">
        <f t="shared" si="2"/>
        <v>3.6363636363636364E-3</v>
      </c>
      <c r="W132" s="66">
        <f>V132*Table225[[#This Row],[2020]]</f>
        <v>7.3900909090909087E-2</v>
      </c>
      <c r="X132" s="3">
        <f>V132*Table225[[#This Row],[2019]]</f>
        <v>0.12319778181818182</v>
      </c>
      <c r="Y132" s="4">
        <f>V132*Table225[[#This Row],[2018]]</f>
        <v>-7.5572363636363632E-2</v>
      </c>
      <c r="Z132" s="4">
        <f>V132*Table225[[#This Row],[2017]]</f>
        <v>8.8175745454545457E-2</v>
      </c>
      <c r="AA132" s="47">
        <f>V132*Table225[[#This Row],[2016]]</f>
        <v>1.3940767272727273E-2</v>
      </c>
    </row>
    <row r="133" spans="1:27" x14ac:dyDescent="0.35">
      <c r="A133" s="83" t="s">
        <v>474</v>
      </c>
      <c r="B133" s="84" t="s">
        <v>960</v>
      </c>
      <c r="C133" s="84" t="str">
        <f>Table225[[#This Row],[Ticker]]&amp; ( "US EQUITY")</f>
        <v>VLOUS EQUITY</v>
      </c>
      <c r="D133" s="85">
        <v>5.9498224713166466E-2</v>
      </c>
      <c r="E133" s="85">
        <v>0.94050177528683354</v>
      </c>
      <c r="F133" s="86">
        <f>_xlfn.XLOOKUP(Table225[[#This Row],[Ticker]],'R'!B:B,'R'!D:D,"not found")</f>
        <v>33450000000.000004</v>
      </c>
      <c r="G133" s="87">
        <v>-35.603319999999997</v>
      </c>
      <c r="H133" s="88">
        <v>30.35905</v>
      </c>
      <c r="I133" s="97">
        <v>-15.719480000000001</v>
      </c>
      <c r="J133" s="97">
        <v>39.982810000000001</v>
      </c>
      <c r="K133" s="104">
        <v>0.78390839999999995</v>
      </c>
      <c r="N133" s="4">
        <f>'R'!E131</f>
        <v>3.857530834299158E-3</v>
      </c>
      <c r="O133" s="66">
        <f>N133*Table225[[#This Row],[2020]]</f>
        <v>-0.13734090470341989</v>
      </c>
      <c r="P133" s="3">
        <f>N133*Table225[[#This Row],[2019]]</f>
        <v>0.11711097147502986</v>
      </c>
      <c r="Q133" s="4">
        <f>N133*Table225[[#This Row],[2018]]</f>
        <v>-6.0638378799148934E-2</v>
      </c>
      <c r="R133" s="4">
        <f>N133*Table225[[#This Row],[2017]]</f>
        <v>0.15423492241692471</v>
      </c>
      <c r="S133" s="47">
        <f>N133*Table225[[#This Row],[2016]]</f>
        <v>3.0239508242661181E-3</v>
      </c>
      <c r="V133" s="4">
        <f t="shared" ref="V133:V196" si="3">1/275</f>
        <v>3.6363636363636364E-3</v>
      </c>
      <c r="W133" s="66">
        <f>V133*Table225[[#This Row],[2020]]</f>
        <v>-0.12946661818181818</v>
      </c>
      <c r="X133" s="3">
        <f>V133*Table225[[#This Row],[2019]]</f>
        <v>0.11039654545454546</v>
      </c>
      <c r="Y133" s="4">
        <f>V133*Table225[[#This Row],[2018]]</f>
        <v>-5.7161745454545457E-2</v>
      </c>
      <c r="Z133" s="4">
        <f>V133*Table225[[#This Row],[2017]]</f>
        <v>0.14539203636363637</v>
      </c>
      <c r="AA133" s="47">
        <f>V133*Table225[[#This Row],[2016]]</f>
        <v>2.8505759999999996E-3</v>
      </c>
    </row>
    <row r="134" spans="1:27" x14ac:dyDescent="0.35">
      <c r="A134" s="83" t="s">
        <v>42</v>
      </c>
      <c r="B134" s="84" t="s">
        <v>552</v>
      </c>
      <c r="C134" s="84" t="str">
        <f>Table225[[#This Row],[Ticker]]&amp; ( "US EQUITY")</f>
        <v>WMUS EQUITY</v>
      </c>
      <c r="D134" s="85">
        <v>0.36140412869629907</v>
      </c>
      <c r="E134" s="85">
        <v>0.63859587130370099</v>
      </c>
      <c r="F134" s="86">
        <f>_xlfn.XLOOKUP(Table225[[#This Row],[Ticker]],'R'!B:B,'R'!D:D,"not found")</f>
        <v>23870000000</v>
      </c>
      <c r="G134" s="87">
        <v>5.4880139999999997</v>
      </c>
      <c r="H134" s="88">
        <v>30.45194</v>
      </c>
      <c r="I134" s="97">
        <v>5.3113340000000004</v>
      </c>
      <c r="J134" s="97">
        <v>24.45722</v>
      </c>
      <c r="K134" s="104">
        <v>36.376939999999998</v>
      </c>
      <c r="N134" s="4">
        <f>'R'!E132</f>
        <v>2.752743229139638E-3</v>
      </c>
      <c r="O134" s="66">
        <f>N134*Table225[[#This Row],[2020]]</f>
        <v>1.5107093379923541E-2</v>
      </c>
      <c r="P134" s="3">
        <f>N134*Table225[[#This Row],[2019]]</f>
        <v>8.3826371649166509E-2</v>
      </c>
      <c r="Q134" s="4">
        <f>N134*Table225[[#This Row],[2018]]</f>
        <v>1.4620738706199151E-2</v>
      </c>
      <c r="R134" s="4">
        <f>N134*Table225[[#This Row],[2017]]</f>
        <v>6.7324446758578543E-2</v>
      </c>
      <c r="S134" s="47">
        <f>N134*Table225[[#This Row],[2016]]</f>
        <v>0.10013637528181886</v>
      </c>
      <c r="V134" s="4">
        <f t="shared" si="3"/>
        <v>3.6363636363636364E-3</v>
      </c>
      <c r="W134" s="66">
        <f>V134*Table225[[#This Row],[2020]]</f>
        <v>1.9956414545454545E-2</v>
      </c>
      <c r="X134" s="3">
        <f>V134*Table225[[#This Row],[2019]]</f>
        <v>0.11073432727272728</v>
      </c>
      <c r="Y134" s="4">
        <f>V134*Table225[[#This Row],[2018]]</f>
        <v>1.9313941818181819E-2</v>
      </c>
      <c r="Z134" s="4">
        <f>V134*Table225[[#This Row],[2017]]</f>
        <v>8.8935345454545456E-2</v>
      </c>
      <c r="AA134" s="47">
        <f>V134*Table225[[#This Row],[2016]]</f>
        <v>0.13227978181818181</v>
      </c>
    </row>
    <row r="135" spans="1:27" x14ac:dyDescent="0.35">
      <c r="A135" s="83" t="s">
        <v>41</v>
      </c>
      <c r="B135" s="84" t="s">
        <v>551</v>
      </c>
      <c r="C135" s="84" t="str">
        <f>Table225[[#This Row],[Ticker]]&amp; ( "US EQUITY")</f>
        <v>FISUS EQUITY</v>
      </c>
      <c r="D135" s="85">
        <v>4.0170501341293553E-2</v>
      </c>
      <c r="E135" s="85">
        <v>0.95982949865870648</v>
      </c>
      <c r="F135" s="86">
        <f>_xlfn.XLOOKUP(Table225[[#This Row],[Ticker]],'R'!B:B,'R'!D:D,"not found")</f>
        <v>19660000000</v>
      </c>
      <c r="G135" s="87">
        <v>2.7585389999999999</v>
      </c>
      <c r="H135" s="88">
        <v>37.174140000000001</v>
      </c>
      <c r="I135" s="97">
        <v>10.31601</v>
      </c>
      <c r="J135" s="97">
        <v>26.034929999999999</v>
      </c>
      <c r="K135" s="104">
        <v>26.64237</v>
      </c>
      <c r="N135" s="4">
        <f>'R'!E133</f>
        <v>2.2672363588137948E-3</v>
      </c>
      <c r="O135" s="66">
        <f>N135*Table225[[#This Row],[2020]]</f>
        <v>6.2542599180058465E-3</v>
      </c>
      <c r="P135" s="3">
        <f>N135*Table225[[#This Row],[2019]]</f>
        <v>8.4282561815634247E-2</v>
      </c>
      <c r="Q135" s="4">
        <f>N135*Table225[[#This Row],[2018]]</f>
        <v>2.3388832949886695E-2</v>
      </c>
      <c r="R135" s="4">
        <f>N135*Table225[[#This Row],[2017]]</f>
        <v>5.9027339895172032E-2</v>
      </c>
      <c r="S135" s="47">
        <f>N135*Table225[[#This Row],[2016]]</f>
        <v>6.0404549948969884E-2</v>
      </c>
      <c r="V135" s="4">
        <f t="shared" si="3"/>
        <v>3.6363636363636364E-3</v>
      </c>
      <c r="W135" s="66">
        <f>V135*Table225[[#This Row],[2020]]</f>
        <v>1.0031050909090908E-2</v>
      </c>
      <c r="X135" s="3">
        <f>V135*Table225[[#This Row],[2019]]</f>
        <v>0.1351786909090909</v>
      </c>
      <c r="Y135" s="4">
        <f>V135*Table225[[#This Row],[2018]]</f>
        <v>3.751276363636364E-2</v>
      </c>
      <c r="Z135" s="4">
        <f>V135*Table225[[#This Row],[2017]]</f>
        <v>9.4672472727272722E-2</v>
      </c>
      <c r="AA135" s="47">
        <f>V135*Table225[[#This Row],[2016]]</f>
        <v>9.6881345454545451E-2</v>
      </c>
    </row>
    <row r="136" spans="1:27" x14ac:dyDescent="0.35">
      <c r="A136" s="83" t="s">
        <v>88</v>
      </c>
      <c r="B136" s="84" t="s">
        <v>592</v>
      </c>
      <c r="C136" s="84" t="str">
        <f>Table225[[#This Row],[Ticker]]&amp; ( "US EQUITY")</f>
        <v>APDUS EQUITY</v>
      </c>
      <c r="D136" s="85">
        <v>0.31397483962342748</v>
      </c>
      <c r="E136" s="85">
        <v>0.68602516037657257</v>
      </c>
      <c r="F136" s="86">
        <f>_xlfn.XLOOKUP(Table225[[#This Row],[Ticker]],'R'!B:B,'R'!D:D,"not found")</f>
        <v>28060000000</v>
      </c>
      <c r="G136" s="87">
        <v>18.808229999999998</v>
      </c>
      <c r="H136" s="88">
        <v>49.984749999999998</v>
      </c>
      <c r="I136" s="97">
        <v>0.24795529999999999</v>
      </c>
      <c r="J136" s="97">
        <v>17.046710000000001</v>
      </c>
      <c r="K136" s="104">
        <v>22.499310000000001</v>
      </c>
      <c r="N136" s="4">
        <f>'R'!E134</f>
        <v>3.2359436535256908E-3</v>
      </c>
      <c r="O136" s="66">
        <f>N136*Table225[[#This Row],[2020]]</f>
        <v>6.0862372502551498E-2</v>
      </c>
      <c r="P136" s="3">
        <f>N136*Table225[[#This Row],[2019]]</f>
        <v>0.16174783453556826</v>
      </c>
      <c r="Q136" s="4">
        <f>N136*Table225[[#This Row],[2018]]</f>
        <v>8.0236937939305868E-4</v>
      </c>
      <c r="R136" s="4">
        <f>N136*Table225[[#This Row],[2017]]</f>
        <v>5.5162193037992933E-2</v>
      </c>
      <c r="S136" s="47">
        <f>N136*Table225[[#This Row],[2016]]</f>
        <v>7.2806499403207117E-2</v>
      </c>
      <c r="V136" s="4">
        <f t="shared" si="3"/>
        <v>3.6363636363636364E-3</v>
      </c>
      <c r="W136" s="66">
        <f>V136*Table225[[#This Row],[2020]]</f>
        <v>6.8393563636363633E-2</v>
      </c>
      <c r="X136" s="3">
        <f>V136*Table225[[#This Row],[2019]]</f>
        <v>0.18176272727272727</v>
      </c>
      <c r="Y136" s="4">
        <f>V136*Table225[[#This Row],[2018]]</f>
        <v>9.0165563636363628E-4</v>
      </c>
      <c r="Z136" s="4">
        <f>V136*Table225[[#This Row],[2017]]</f>
        <v>6.1988036363636367E-2</v>
      </c>
      <c r="AA136" s="47">
        <f>V136*Table225[[#This Row],[2016]]</f>
        <v>8.1815672727272734E-2</v>
      </c>
    </row>
    <row r="137" spans="1:27" x14ac:dyDescent="0.35">
      <c r="A137" s="83" t="s">
        <v>122</v>
      </c>
      <c r="B137" s="84" t="s">
        <v>626</v>
      </c>
      <c r="C137" s="84" t="str">
        <f>Table225[[#This Row],[Ticker]]&amp; ( "US EQUITY")</f>
        <v>AIZUS EQUITY</v>
      </c>
      <c r="D137" s="85">
        <v>0.36343640962578605</v>
      </c>
      <c r="E137" s="85">
        <v>0.63656359037421395</v>
      </c>
      <c r="F137" s="86">
        <f>_xlfn.XLOOKUP(Table225[[#This Row],[Ticker]],'R'!B:B,'R'!D:D,"not found")</f>
        <v>5300000000</v>
      </c>
      <c r="G137" s="87">
        <v>6.0975669999999997</v>
      </c>
      <c r="H137" s="88">
        <v>49.78539</v>
      </c>
      <c r="I137" s="97">
        <v>-9.1894089999999995</v>
      </c>
      <c r="J137" s="97">
        <v>10.97559</v>
      </c>
      <c r="K137" s="104">
        <v>18.150729999999999</v>
      </c>
      <c r="N137" s="4">
        <f>'R'!E135</f>
        <v>6.1120817404441063E-4</v>
      </c>
      <c r="O137" s="66">
        <f>N137*Table225[[#This Row],[2020]]</f>
        <v>3.7268827921834546E-3</v>
      </c>
      <c r="P137" s="3">
        <f>N137*Table225[[#This Row],[2019]]</f>
        <v>3.0429237315988861E-2</v>
      </c>
      <c r="Q137" s="4">
        <f>N137*Table225[[#This Row],[2018]]</f>
        <v>-5.6166418954372733E-3</v>
      </c>
      <c r="R137" s="4">
        <f>N137*Table225[[#This Row],[2017]]</f>
        <v>6.7083703229600935E-3</v>
      </c>
      <c r="S137" s="47">
        <f>N137*Table225[[#This Row],[2016]]</f>
        <v>1.1093874540873105E-2</v>
      </c>
      <c r="V137" s="4">
        <f t="shared" si="3"/>
        <v>3.6363636363636364E-3</v>
      </c>
      <c r="W137" s="66">
        <f>V137*Table225[[#This Row],[2020]]</f>
        <v>2.2172970909090907E-2</v>
      </c>
      <c r="X137" s="3">
        <f>V137*Table225[[#This Row],[2019]]</f>
        <v>0.18103778181818181</v>
      </c>
      <c r="Y137" s="4">
        <f>V137*Table225[[#This Row],[2018]]</f>
        <v>-3.3416032727272726E-2</v>
      </c>
      <c r="Z137" s="4">
        <f>V137*Table225[[#This Row],[2017]]</f>
        <v>3.9911236363636367E-2</v>
      </c>
      <c r="AA137" s="47">
        <f>V137*Table225[[#This Row],[2016]]</f>
        <v>6.6002654545454537E-2</v>
      </c>
    </row>
    <row r="138" spans="1:27" x14ac:dyDescent="0.35">
      <c r="A138" s="83" t="s">
        <v>309</v>
      </c>
      <c r="B138" s="84" t="s">
        <v>806</v>
      </c>
      <c r="C138" s="84" t="str">
        <f>Table225[[#This Row],[Ticker]]&amp; ( "US EQUITY")</f>
        <v>KEYUS EQUITY</v>
      </c>
      <c r="D138" s="85">
        <v>0.10542661673967312</v>
      </c>
      <c r="E138" s="85">
        <v>0.89457338326032687</v>
      </c>
      <c r="F138" s="86">
        <f>_xlfn.XLOOKUP(Table225[[#This Row],[Ticker]],'R'!B:B,'R'!D:D,"not found")</f>
        <v>11020000000</v>
      </c>
      <c r="G138" s="87">
        <v>-14.49849</v>
      </c>
      <c r="H138" s="88">
        <v>42.696190000000001</v>
      </c>
      <c r="I138" s="97">
        <v>-24.633220000000001</v>
      </c>
      <c r="J138" s="97">
        <v>12.73663</v>
      </c>
      <c r="K138" s="104">
        <v>42.138300000000001</v>
      </c>
      <c r="N138" s="4">
        <f>'R'!E136</f>
        <v>1.270851712824416E-3</v>
      </c>
      <c r="O138" s="66">
        <f>N138*Table225[[#This Row],[2020]]</f>
        <v>-1.8425430849867665E-2</v>
      </c>
      <c r="P138" s="3">
        <f>N138*Table225[[#This Row],[2019]]</f>
        <v>5.4260526192576701E-2</v>
      </c>
      <c r="Q138" s="4">
        <f>N138*Table225[[#This Row],[2018]]</f>
        <v>-3.1305169829380662E-2</v>
      </c>
      <c r="R138" s="4">
        <f>N138*Table225[[#This Row],[2017]]</f>
        <v>1.6186368051110841E-2</v>
      </c>
      <c r="S138" s="47">
        <f>N138*Table225[[#This Row],[2016]]</f>
        <v>5.3551530730509091E-2</v>
      </c>
      <c r="V138" s="4">
        <f t="shared" si="3"/>
        <v>3.6363636363636364E-3</v>
      </c>
      <c r="W138" s="66">
        <f>V138*Table225[[#This Row],[2020]]</f>
        <v>-5.2721781818181816E-2</v>
      </c>
      <c r="X138" s="3">
        <f>V138*Table225[[#This Row],[2019]]</f>
        <v>0.15525887272727273</v>
      </c>
      <c r="Y138" s="4">
        <f>V138*Table225[[#This Row],[2018]]</f>
        <v>-8.9575345454545457E-2</v>
      </c>
      <c r="Z138" s="4">
        <f>V138*Table225[[#This Row],[2017]]</f>
        <v>4.6315018181818178E-2</v>
      </c>
      <c r="AA138" s="47">
        <f>V138*Table225[[#This Row],[2016]]</f>
        <v>0.15323018181818182</v>
      </c>
    </row>
    <row r="139" spans="1:27" x14ac:dyDescent="0.35">
      <c r="A139" s="83" t="s">
        <v>40</v>
      </c>
      <c r="B139" s="84" t="s">
        <v>550</v>
      </c>
      <c r="C139" s="84" t="str">
        <f>Table225[[#This Row],[Ticker]]&amp; ( "US EQUITY")</f>
        <v>FCXUS EQUITY</v>
      </c>
      <c r="D139" s="85">
        <v>0.20334747760490335</v>
      </c>
      <c r="E139" s="85">
        <v>0.79665252239509665</v>
      </c>
      <c r="F139" s="86">
        <f>_xlfn.XLOOKUP(Table225[[#This Row],[Ticker]],'R'!B:B,'R'!D:D,"not found")</f>
        <v>8439999999.999999</v>
      </c>
      <c r="G139" s="87">
        <v>99.073849999999993</v>
      </c>
      <c r="H139" s="88">
        <v>29.529050000000002</v>
      </c>
      <c r="I139" s="97">
        <v>-45.097810000000003</v>
      </c>
      <c r="J139" s="97">
        <v>43.745249999999999</v>
      </c>
      <c r="K139" s="104">
        <v>94.830110000000005</v>
      </c>
      <c r="N139" s="4">
        <f>'R'!E137</f>
        <v>9.7332018659147639E-4</v>
      </c>
      <c r="O139" s="66">
        <f>N139*Table225[[#This Row],[2020]]</f>
        <v>9.6430578168335931E-2</v>
      </c>
      <c r="P139" s="3">
        <f>N139*Table225[[#This Row],[2019]]</f>
        <v>2.8741220455869038E-2</v>
      </c>
      <c r="Q139" s="4">
        <f>N139*Table225[[#This Row],[2018]]</f>
        <v>-4.389460884406695E-2</v>
      </c>
      <c r="R139" s="4">
        <f>N139*Table225[[#This Row],[2017]]</f>
        <v>4.2578134892490779E-2</v>
      </c>
      <c r="S139" s="47">
        <f>N139*Table225[[#This Row],[2016]]</f>
        <v>9.2300060359690239E-2</v>
      </c>
      <c r="V139" s="4">
        <f t="shared" si="3"/>
        <v>3.6363636363636364E-3</v>
      </c>
      <c r="W139" s="66">
        <f>V139*Table225[[#This Row],[2020]]</f>
        <v>0.36026854545454545</v>
      </c>
      <c r="X139" s="3">
        <f>V139*Table225[[#This Row],[2019]]</f>
        <v>0.10737836363636365</v>
      </c>
      <c r="Y139" s="4">
        <f>V139*Table225[[#This Row],[2018]]</f>
        <v>-0.16399203636363638</v>
      </c>
      <c r="Z139" s="4">
        <f>V139*Table225[[#This Row],[2017]]</f>
        <v>0.15907363636363636</v>
      </c>
      <c r="AA139" s="47">
        <f>V139*Table225[[#This Row],[2016]]</f>
        <v>0.34483676363636367</v>
      </c>
    </row>
    <row r="140" spans="1:27" x14ac:dyDescent="0.35">
      <c r="A140" s="83" t="s">
        <v>492</v>
      </c>
      <c r="B140" s="84" t="s">
        <v>976</v>
      </c>
      <c r="C140" s="84" t="str">
        <f>Table225[[#This Row],[Ticker]]&amp; ( "US EQUITY")</f>
        <v>WECUS EQUITY</v>
      </c>
      <c r="D140" s="85">
        <v>0.47122437824542224</v>
      </c>
      <c r="E140" s="85">
        <v>0.52877562175457771</v>
      </c>
      <c r="F140" s="86">
        <f>_xlfn.XLOOKUP(Table225[[#This Row],[Ticker]],'R'!B:B,'R'!D:D,"not found")</f>
        <v>16200000000</v>
      </c>
      <c r="G140" s="87">
        <v>2.4845359999999999</v>
      </c>
      <c r="H140" s="88">
        <v>37.019750000000002</v>
      </c>
      <c r="I140" s="97">
        <v>7.8573110000000002</v>
      </c>
      <c r="J140" s="97">
        <v>17.08325</v>
      </c>
      <c r="K140" s="104">
        <v>18.213460000000001</v>
      </c>
      <c r="N140" s="4">
        <f>'R'!E138</f>
        <v>1.8682212112300853E-3</v>
      </c>
      <c r="O140" s="66">
        <f>N140*Table225[[#This Row],[2020]]</f>
        <v>4.6416628552647509E-3</v>
      </c>
      <c r="P140" s="3">
        <f>N140*Table225[[#This Row],[2019]]</f>
        <v>6.9161082184434952E-2</v>
      </c>
      <c r="Q140" s="4">
        <f>N140*Table225[[#This Row],[2018]]</f>
        <v>1.4679195073431473E-2</v>
      </c>
      <c r="R140" s="4">
        <f>N140*Table225[[#This Row],[2017]]</f>
        <v>3.1915290006746352E-2</v>
      </c>
      <c r="S140" s="47">
        <f>N140*Table225[[#This Row],[2016]]</f>
        <v>3.4026772301890711E-2</v>
      </c>
      <c r="V140" s="4">
        <f t="shared" si="3"/>
        <v>3.6363636363636364E-3</v>
      </c>
      <c r="W140" s="66">
        <f>V140*Table225[[#This Row],[2020]]</f>
        <v>9.0346763636363625E-3</v>
      </c>
      <c r="X140" s="3">
        <f>V140*Table225[[#This Row],[2019]]</f>
        <v>0.13461727272727272</v>
      </c>
      <c r="Y140" s="4">
        <f>V140*Table225[[#This Row],[2018]]</f>
        <v>2.857204E-2</v>
      </c>
      <c r="Z140" s="4">
        <f>V140*Table225[[#This Row],[2017]]</f>
        <v>6.2120909090909088E-2</v>
      </c>
      <c r="AA140" s="47">
        <f>V140*Table225[[#This Row],[2016]]</f>
        <v>6.623076363636364E-2</v>
      </c>
    </row>
    <row r="141" spans="1:27" x14ac:dyDescent="0.35">
      <c r="A141" s="83" t="s">
        <v>500</v>
      </c>
      <c r="B141" s="84" t="s">
        <v>984</v>
      </c>
      <c r="C141" s="84" t="str">
        <f>Table225[[#This Row],[Ticker]]&amp; ( "US EQUITY")</f>
        <v>WHRUS EQUITY</v>
      </c>
      <c r="D141" s="85">
        <v>0.29909722222222224</v>
      </c>
      <c r="E141" s="85">
        <v>0.70090277777777776</v>
      </c>
      <c r="F141" s="86">
        <f>_xlfn.XLOOKUP(Table225[[#This Row],[Ticker]],'R'!B:B,'R'!D:D,"not found")</f>
        <v>11310000000</v>
      </c>
      <c r="G141" s="87">
        <v>26.488479999999999</v>
      </c>
      <c r="H141" s="88">
        <v>42.812759999999997</v>
      </c>
      <c r="I141" s="97">
        <v>-34.498089999999998</v>
      </c>
      <c r="J141" s="97">
        <v>-4.8880160000000004</v>
      </c>
      <c r="K141" s="104">
        <v>26.710979999999999</v>
      </c>
      <c r="N141" s="4">
        <f>'R'!E139</f>
        <v>1.3042951789513744E-3</v>
      </c>
      <c r="O141" s="66">
        <f>N141*Table225[[#This Row],[2020]]</f>
        <v>3.4548796761749899E-2</v>
      </c>
      <c r="P141" s="3">
        <f>N141*Table225[[#This Row],[2019]]</f>
        <v>5.5840476465602237E-2</v>
      </c>
      <c r="Q141" s="4">
        <f>N141*Table225[[#This Row],[2018]]</f>
        <v>-4.4995692470030615E-2</v>
      </c>
      <c r="R141" s="4">
        <f>N141*Table225[[#This Row],[2017]]</f>
        <v>-6.3754157034371815E-3</v>
      </c>
      <c r="S141" s="47">
        <f>N141*Table225[[#This Row],[2016]]</f>
        <v>3.4839002439066583E-2</v>
      </c>
      <c r="V141" s="4">
        <f t="shared" si="3"/>
        <v>3.6363636363636364E-3</v>
      </c>
      <c r="W141" s="66">
        <f>V141*Table225[[#This Row],[2020]]</f>
        <v>9.6321745454545457E-2</v>
      </c>
      <c r="X141" s="3">
        <f>V141*Table225[[#This Row],[2019]]</f>
        <v>0.15568276363636363</v>
      </c>
      <c r="Y141" s="4">
        <f>V141*Table225[[#This Row],[2018]]</f>
        <v>-0.12544759999999999</v>
      </c>
      <c r="Z141" s="4">
        <f>V141*Table225[[#This Row],[2017]]</f>
        <v>-1.7774603636363639E-2</v>
      </c>
      <c r="AA141" s="47">
        <f>V141*Table225[[#This Row],[2016]]</f>
        <v>9.7130836363636355E-2</v>
      </c>
    </row>
    <row r="142" spans="1:27" x14ac:dyDescent="0.35">
      <c r="A142" s="83" t="s">
        <v>505</v>
      </c>
      <c r="B142" s="84" t="s">
        <v>989</v>
      </c>
      <c r="C142" s="84" t="str">
        <f>Table225[[#This Row],[Ticker]]&amp; ( "US EQUITY")</f>
        <v>WYNNUS EQUITY</v>
      </c>
      <c r="D142" s="85">
        <v>4.8231672229255382E-2</v>
      </c>
      <c r="E142" s="85">
        <v>0.9517683277707446</v>
      </c>
      <c r="F142" s="86">
        <f>_xlfn.XLOOKUP(Table225[[#This Row],[Ticker]],'R'!B:B,'R'!D:D,"not found")</f>
        <v>7030000000</v>
      </c>
      <c r="G142" s="87">
        <v>-18.037960000000002</v>
      </c>
      <c r="H142" s="88">
        <v>45.021720000000002</v>
      </c>
      <c r="I142" s="97">
        <v>-40.161119999999997</v>
      </c>
      <c r="J142" s="97">
        <v>98.06465</v>
      </c>
      <c r="K142" s="104">
        <v>27.905550000000002</v>
      </c>
      <c r="N142" s="4">
        <f>'R'!E140</f>
        <v>8.107157478362654E-4</v>
      </c>
      <c r="O142" s="66">
        <f>N142*Table225[[#This Row],[2020]]</f>
        <v>-1.4623658230840643E-2</v>
      </c>
      <c r="P142" s="3">
        <f>N142*Table225[[#This Row],[2019]]</f>
        <v>3.6499817398674951E-2</v>
      </c>
      <c r="Q142" s="4">
        <f>N142*Table225[[#This Row],[2018]]</f>
        <v>-3.2559252434741989E-2</v>
      </c>
      <c r="R142" s="4">
        <f>N142*Table225[[#This Row],[2017]]</f>
        <v>7.9502556061051624E-2</v>
      </c>
      <c r="S142" s="47">
        <f>N142*Table225[[#This Row],[2016]]</f>
        <v>2.2623468837032298E-2</v>
      </c>
      <c r="V142" s="4">
        <f t="shared" si="3"/>
        <v>3.6363636363636364E-3</v>
      </c>
      <c r="W142" s="66">
        <f>V142*Table225[[#This Row],[2020]]</f>
        <v>-6.5592581818181825E-2</v>
      </c>
      <c r="X142" s="3">
        <f>V142*Table225[[#This Row],[2019]]</f>
        <v>0.16371534545454547</v>
      </c>
      <c r="Y142" s="4">
        <f>V142*Table225[[#This Row],[2018]]</f>
        <v>-0.14604043636363634</v>
      </c>
      <c r="Z142" s="4">
        <f>V142*Table225[[#This Row],[2017]]</f>
        <v>0.35659872727272729</v>
      </c>
      <c r="AA142" s="47">
        <f>V142*Table225[[#This Row],[2016]]</f>
        <v>0.10147472727272727</v>
      </c>
    </row>
    <row r="143" spans="1:27" x14ac:dyDescent="0.35">
      <c r="A143" s="83" t="s">
        <v>38</v>
      </c>
      <c r="B143" s="84" t="s">
        <v>548</v>
      </c>
      <c r="C143" s="84" t="str">
        <f>Table225[[#This Row],[Ticker]]&amp; ( "US EQUITY")</f>
        <v>FMCUS EQUITY</v>
      </c>
      <c r="D143" s="85">
        <v>0.3819903758066302</v>
      </c>
      <c r="E143" s="85">
        <v>0.6180096241933698</v>
      </c>
      <c r="F143" s="86">
        <f>_xlfn.XLOOKUP(Table225[[#This Row],[Ticker]],'R'!B:B,'R'!D:D,"not found")</f>
        <v>5230000000</v>
      </c>
      <c r="G143" s="87">
        <v>17.250730000000001</v>
      </c>
      <c r="H143" s="88">
        <v>58.745899999999999</v>
      </c>
      <c r="I143" s="97">
        <v>-20.971329999999998</v>
      </c>
      <c r="J143" s="97">
        <v>68.78922</v>
      </c>
      <c r="K143" s="104">
        <v>46.592709999999997</v>
      </c>
      <c r="N143" s="4">
        <f>'R'!E141</f>
        <v>6.0313561325514478E-4</v>
      </c>
      <c r="O143" s="66">
        <f>N143*Table225[[#This Row],[2020]]</f>
        <v>1.0404529617648924E-2</v>
      </c>
      <c r="P143" s="3">
        <f>N143*Table225[[#This Row],[2019]]</f>
        <v>3.5431744422725411E-2</v>
      </c>
      <c r="Q143" s="4">
        <f>N143*Table225[[#This Row],[2018]]</f>
        <v>-1.2648555980326014E-2</v>
      </c>
      <c r="R143" s="4">
        <f>N143*Table225[[#This Row],[2017]]</f>
        <v>4.148922839004307E-2</v>
      </c>
      <c r="S143" s="47">
        <f>N143*Table225[[#This Row],[2016]]</f>
        <v>2.8101722719069116E-2</v>
      </c>
      <c r="V143" s="4">
        <f t="shared" si="3"/>
        <v>3.6363636363636364E-3</v>
      </c>
      <c r="W143" s="66">
        <f>V143*Table225[[#This Row],[2020]]</f>
        <v>6.2729927272727276E-2</v>
      </c>
      <c r="X143" s="3">
        <f>V143*Table225[[#This Row],[2019]]</f>
        <v>0.21362145454545453</v>
      </c>
      <c r="Y143" s="4">
        <f>V143*Table225[[#This Row],[2018]]</f>
        <v>-7.6259381818181815E-2</v>
      </c>
      <c r="Z143" s="4">
        <f>V143*Table225[[#This Row],[2017]]</f>
        <v>0.25014261818181815</v>
      </c>
      <c r="AA143" s="47">
        <f>V143*Table225[[#This Row],[2016]]</f>
        <v>0.16942803636363635</v>
      </c>
    </row>
    <row r="144" spans="1:27" x14ac:dyDescent="0.35">
      <c r="A144" s="83" t="s">
        <v>302</v>
      </c>
      <c r="B144" s="84" t="s">
        <v>799</v>
      </c>
      <c r="C144" s="84" t="str">
        <f>Table225[[#This Row],[Ticker]]&amp; ( "US EQUITY")</f>
        <v>SJMUS EQUITY</v>
      </c>
      <c r="D144" s="85">
        <v>0.13808489103081967</v>
      </c>
      <c r="E144" s="85">
        <v>0.86191510896918033</v>
      </c>
      <c r="F144" s="86">
        <f>_xlfn.XLOOKUP(Table225[[#This Row],[Ticker]],'R'!B:B,'R'!D:D,"not found")</f>
        <v>14760000000</v>
      </c>
      <c r="G144" s="87">
        <v>14.53904</v>
      </c>
      <c r="H144" s="88">
        <v>14.90864</v>
      </c>
      <c r="I144" s="97">
        <v>-22.580449999999999</v>
      </c>
      <c r="J144" s="97">
        <v>-0.49169059999999998</v>
      </c>
      <c r="K144" s="104">
        <v>6.0143589999999998</v>
      </c>
      <c r="N144" s="4">
        <f>'R'!E142</f>
        <v>1.7021571035651889E-3</v>
      </c>
      <c r="O144" s="66">
        <f>N144*Table225[[#This Row],[2020]]</f>
        <v>2.4747730215018426E-2</v>
      </c>
      <c r="P144" s="3">
        <f>N144*Table225[[#This Row],[2019]]</f>
        <v>2.537684748049612E-2</v>
      </c>
      <c r="Q144" s="4">
        <f>N144*Table225[[#This Row],[2018]]</f>
        <v>-3.8435473369198565E-2</v>
      </c>
      <c r="R144" s="4">
        <f>N144*Table225[[#This Row],[2017]]</f>
        <v>-8.3693464754622986E-4</v>
      </c>
      <c r="S144" s="47">
        <f>N144*Table225[[#This Row],[2016]]</f>
        <v>1.0237383895241226E-2</v>
      </c>
      <c r="V144" s="4">
        <f t="shared" si="3"/>
        <v>3.6363636363636364E-3</v>
      </c>
      <c r="W144" s="66">
        <f>V144*Table225[[#This Row],[2020]]</f>
        <v>5.2869236363636364E-2</v>
      </c>
      <c r="X144" s="3">
        <f>V144*Table225[[#This Row],[2019]]</f>
        <v>5.4213236363636362E-2</v>
      </c>
      <c r="Y144" s="4">
        <f>V144*Table225[[#This Row],[2018]]</f>
        <v>-8.2110727272727266E-2</v>
      </c>
      <c r="Z144" s="4">
        <f>V144*Table225[[#This Row],[2017]]</f>
        <v>-1.7879658181818182E-3</v>
      </c>
      <c r="AA144" s="47">
        <f>V144*Table225[[#This Row],[2016]]</f>
        <v>2.1870396363636364E-2</v>
      </c>
    </row>
    <row r="145" spans="1:27" x14ac:dyDescent="0.35">
      <c r="A145" s="83" t="s">
        <v>244</v>
      </c>
      <c r="B145" s="84" t="s">
        <v>744</v>
      </c>
      <c r="C145" s="84" t="str">
        <f>Table225[[#This Row],[Ticker]]&amp; ( "US EQUITY")</f>
        <v>FITBUS EQUITY</v>
      </c>
      <c r="D145" s="85">
        <v>8.4795866141501738E-2</v>
      </c>
      <c r="E145" s="85">
        <v>0.9152041338584983</v>
      </c>
      <c r="F145" s="86">
        <f>_xlfn.XLOOKUP(Table225[[#This Row],[Ticker]],'R'!B:B,'R'!D:D,"not found")</f>
        <v>15780000000</v>
      </c>
      <c r="G145" s="87">
        <v>-5.3562700000000003</v>
      </c>
      <c r="H145" s="88">
        <v>35.146529999999998</v>
      </c>
      <c r="I145" s="97">
        <v>-20.315799999999999</v>
      </c>
      <c r="J145" s="97">
        <v>15.002689999999999</v>
      </c>
      <c r="K145" s="104">
        <v>37.846890000000002</v>
      </c>
      <c r="N145" s="4">
        <f>'R'!E143</f>
        <v>1.8197858464944906E-3</v>
      </c>
      <c r="O145" s="66">
        <f>N145*Table225[[#This Row],[2020]]</f>
        <v>-9.7472643360030451E-3</v>
      </c>
      <c r="P145" s="3">
        <f>N145*Table225[[#This Row],[2019]]</f>
        <v>6.3959157847394005E-2</v>
      </c>
      <c r="Q145" s="4">
        <f>N145*Table225[[#This Row],[2018]]</f>
        <v>-3.6970405300212769E-2</v>
      </c>
      <c r="R145" s="4">
        <f>N145*Table225[[#This Row],[2017]]</f>
        <v>2.7301682921344429E-2</v>
      </c>
      <c r="S145" s="47">
        <f>N145*Table225[[#This Row],[2016]]</f>
        <v>6.8873234755833873E-2</v>
      </c>
      <c r="V145" s="4">
        <f t="shared" si="3"/>
        <v>3.6363636363636364E-3</v>
      </c>
      <c r="W145" s="66">
        <f>V145*Table225[[#This Row],[2020]]</f>
        <v>-1.9477345454545457E-2</v>
      </c>
      <c r="X145" s="3">
        <f>V145*Table225[[#This Row],[2019]]</f>
        <v>0.12780556363636364</v>
      </c>
      <c r="Y145" s="4">
        <f>V145*Table225[[#This Row],[2018]]</f>
        <v>-7.3875636363636366E-2</v>
      </c>
      <c r="Z145" s="4">
        <f>V145*Table225[[#This Row],[2017]]</f>
        <v>5.4555236363636364E-2</v>
      </c>
      <c r="AA145" s="47">
        <f>V145*Table225[[#This Row],[2016]]</f>
        <v>0.13762505454545454</v>
      </c>
    </row>
    <row r="146" spans="1:27" x14ac:dyDescent="0.35">
      <c r="A146" s="83" t="s">
        <v>158</v>
      </c>
      <c r="B146" s="84" t="s">
        <v>662</v>
      </c>
      <c r="C146" s="84" t="str">
        <f>Table225[[#This Row],[Ticker]]&amp; ( "US EQUITY")</f>
        <v>CNPUS EQUITY</v>
      </c>
      <c r="D146" s="85">
        <v>0.39767441860465114</v>
      </c>
      <c r="E146" s="85">
        <v>0.60232558139534886</v>
      </c>
      <c r="F146" s="86">
        <f>_xlfn.XLOOKUP(Table225[[#This Row],[Ticker]],'R'!B:B,'R'!D:D,"not found")</f>
        <v>7890000000</v>
      </c>
      <c r="G146" s="87">
        <v>-17.948969999999999</v>
      </c>
      <c r="H146" s="88">
        <v>0.64755680000000004</v>
      </c>
      <c r="I146" s="97">
        <v>3.738534</v>
      </c>
      <c r="J146" s="97">
        <v>19.58981</v>
      </c>
      <c r="K146" s="104">
        <v>40.882599999999996</v>
      </c>
      <c r="N146" s="4">
        <f>'R'!E144</f>
        <v>9.0989292324724529E-4</v>
      </c>
      <c r="O146" s="66">
        <f>N146*Table225[[#This Row],[2020]]</f>
        <v>-1.6331640782577109E-2</v>
      </c>
      <c r="P146" s="3">
        <f>N146*Table225[[#This Row],[2019]]</f>
        <v>5.8920734972063181E-4</v>
      </c>
      <c r="Q146" s="4">
        <f>N146*Table225[[#This Row],[2018]]</f>
        <v>3.4016656299192169E-3</v>
      </c>
      <c r="R146" s="4">
        <f>N146*Table225[[#This Row],[2017]]</f>
        <v>1.7824629486758118E-2</v>
      </c>
      <c r="S146" s="47">
        <f>N146*Table225[[#This Row],[2016]]</f>
        <v>3.7198788423947825E-2</v>
      </c>
      <c r="V146" s="4">
        <f t="shared" si="3"/>
        <v>3.6363636363636364E-3</v>
      </c>
      <c r="W146" s="66">
        <f>V146*Table225[[#This Row],[2020]]</f>
        <v>-6.5268981818181818E-2</v>
      </c>
      <c r="X146" s="3">
        <f>V146*Table225[[#This Row],[2019]]</f>
        <v>2.3547520000000003E-3</v>
      </c>
      <c r="Y146" s="4">
        <f>V146*Table225[[#This Row],[2018]]</f>
        <v>1.3594669090909091E-2</v>
      </c>
      <c r="Z146" s="4">
        <f>V146*Table225[[#This Row],[2017]]</f>
        <v>7.1235672727272728E-2</v>
      </c>
      <c r="AA146" s="47">
        <f>V146*Table225[[#This Row],[2016]]</f>
        <v>0.14866399999999999</v>
      </c>
    </row>
    <row r="147" spans="1:27" x14ac:dyDescent="0.35">
      <c r="A147" s="83" t="s">
        <v>36</v>
      </c>
      <c r="B147" s="84" t="s">
        <v>546</v>
      </c>
      <c r="C147" s="84" t="str">
        <f>Table225[[#This Row],[Ticker]]&amp; ( "US EQUITY")</f>
        <v>YUMUS EQUITY</v>
      </c>
      <c r="D147" s="85">
        <v>0.24568447117085249</v>
      </c>
      <c r="E147" s="85">
        <v>0.75431552882914754</v>
      </c>
      <c r="F147" s="86">
        <f>_xlfn.XLOOKUP(Table225[[#This Row],[Ticker]],'R'!B:B,'R'!D:D,"not found")</f>
        <v>30680000000</v>
      </c>
      <c r="G147" s="87">
        <v>9.8251229999999996</v>
      </c>
      <c r="H147" s="88">
        <v>11.41466</v>
      </c>
      <c r="I147" s="97">
        <v>14.6028</v>
      </c>
      <c r="J147" s="97">
        <v>31.08944</v>
      </c>
      <c r="K147" s="104">
        <v>23.42615</v>
      </c>
      <c r="N147" s="4">
        <f>'R'!E145</f>
        <v>3.538088071638211E-3</v>
      </c>
      <c r="O147" s="66">
        <f>N147*Table225[[#This Row],[2020]]</f>
        <v>3.4762150488678235E-2</v>
      </c>
      <c r="P147" s="3">
        <f>N147*Table225[[#This Row],[2019]]</f>
        <v>4.0386072387805817E-2</v>
      </c>
      <c r="Q147" s="4">
        <f>N147*Table225[[#This Row],[2018]]</f>
        <v>5.1665992492518471E-2</v>
      </c>
      <c r="R147" s="4">
        <f>N147*Table225[[#This Row],[2017]]</f>
        <v>0.10999717681791187</v>
      </c>
      <c r="S147" s="47">
        <f>N147*Table225[[#This Row],[2016]]</f>
        <v>8.2883781879407481E-2</v>
      </c>
      <c r="V147" s="4">
        <f t="shared" si="3"/>
        <v>3.6363636363636364E-3</v>
      </c>
      <c r="W147" s="66">
        <f>V147*Table225[[#This Row],[2020]]</f>
        <v>3.5727719999999998E-2</v>
      </c>
      <c r="X147" s="3">
        <f>V147*Table225[[#This Row],[2019]]</f>
        <v>4.1507854545454546E-2</v>
      </c>
      <c r="Y147" s="4">
        <f>V147*Table225[[#This Row],[2018]]</f>
        <v>5.310109090909091E-2</v>
      </c>
      <c r="Z147" s="4">
        <f>V147*Table225[[#This Row],[2017]]</f>
        <v>0.1130525090909091</v>
      </c>
      <c r="AA147" s="47">
        <f>V147*Table225[[#This Row],[2016]]</f>
        <v>8.5185999999999998E-2</v>
      </c>
    </row>
    <row r="148" spans="1:27" x14ac:dyDescent="0.35">
      <c r="A148" s="83" t="s">
        <v>170</v>
      </c>
      <c r="B148" s="84" t="s">
        <v>674</v>
      </c>
      <c r="C148" s="84" t="str">
        <f>Table225[[#This Row],[Ticker]]&amp; ( "US EQUITY")</f>
        <v>CTASUS EQUITY</v>
      </c>
      <c r="D148" s="85">
        <v>6.4121830520804418E-2</v>
      </c>
      <c r="E148" s="85">
        <v>0.93587816947919555</v>
      </c>
      <c r="F148" s="86">
        <f>_xlfn.XLOOKUP(Table225[[#This Row],[Ticker]],'R'!B:B,'R'!D:D,"not found")</f>
        <v>9850000000</v>
      </c>
      <c r="G148" s="87">
        <v>32.718499999999999</v>
      </c>
      <c r="H148" s="88">
        <v>61.735149999999997</v>
      </c>
      <c r="I148" s="97">
        <v>9.0232609999999998</v>
      </c>
      <c r="J148" s="97">
        <v>36.349850000000004</v>
      </c>
      <c r="K148" s="104">
        <v>28.564990000000002</v>
      </c>
      <c r="N148" s="4">
        <f>'R'!E146</f>
        <v>1.1359246253466876E-3</v>
      </c>
      <c r="O148" s="66">
        <f>N148*Table225[[#This Row],[2020]]</f>
        <v>3.71657498544056E-2</v>
      </c>
      <c r="P148" s="3">
        <f>N148*Table225[[#This Row],[2019]]</f>
        <v>7.0126477134471552E-2</v>
      </c>
      <c r="Q148" s="4">
        <f>N148*Table225[[#This Row],[2018]]</f>
        <v>1.0249744370830377E-2</v>
      </c>
      <c r="R148" s="4">
        <f>N148*Table225[[#This Row],[2017]]</f>
        <v>4.1290689742658294E-2</v>
      </c>
      <c r="S148" s="47">
        <f>N148*Table225[[#This Row],[2016]]</f>
        <v>3.2447675563781878E-2</v>
      </c>
      <c r="V148" s="4">
        <f t="shared" si="3"/>
        <v>3.6363636363636364E-3</v>
      </c>
      <c r="W148" s="66">
        <f>V148*Table225[[#This Row],[2020]]</f>
        <v>0.11897636363636363</v>
      </c>
      <c r="X148" s="3">
        <f>V148*Table225[[#This Row],[2019]]</f>
        <v>0.22449145454545452</v>
      </c>
      <c r="Y148" s="4">
        <f>V148*Table225[[#This Row],[2018]]</f>
        <v>3.2811858181818178E-2</v>
      </c>
      <c r="Z148" s="4">
        <f>V148*Table225[[#This Row],[2017]]</f>
        <v>0.13218127272727273</v>
      </c>
      <c r="AA148" s="47">
        <f>V148*Table225[[#This Row],[2016]]</f>
        <v>0.10387269090909092</v>
      </c>
    </row>
    <row r="149" spans="1:27" x14ac:dyDescent="0.35">
      <c r="A149" s="83" t="s">
        <v>35</v>
      </c>
      <c r="B149" s="84" t="s">
        <v>545</v>
      </c>
      <c r="C149" s="84" t="str">
        <f>Table225[[#This Row],[Ticker]]&amp; ( "US EQUITY")</f>
        <v>HALUS EQUITY</v>
      </c>
      <c r="D149" s="85">
        <v>8.5418678078438531E-2</v>
      </c>
      <c r="E149" s="85">
        <v>0.9145813219215615</v>
      </c>
      <c r="F149" s="86">
        <f>_xlfn.XLOOKUP(Table225[[#This Row],[Ticker]],'R'!B:B,'R'!D:D,"not found")</f>
        <v>29140000000</v>
      </c>
      <c r="G149" s="87">
        <v>-21.19576</v>
      </c>
      <c r="H149" s="88">
        <v>-4.9459749999999998</v>
      </c>
      <c r="I149" s="97">
        <v>-44.609729999999999</v>
      </c>
      <c r="J149" s="97">
        <v>-8.184272</v>
      </c>
      <c r="K149" s="104">
        <v>61.667659999999998</v>
      </c>
      <c r="N149" s="4">
        <f>'R'!E147</f>
        <v>3.3604917342743633E-3</v>
      </c>
      <c r="O149" s="66">
        <f>N149*Table225[[#This Row],[2020]]</f>
        <v>-7.1228176281663183E-2</v>
      </c>
      <c r="P149" s="3">
        <f>N149*Table225[[#This Row],[2019]]</f>
        <v>-1.6620908105427643E-2</v>
      </c>
      <c r="Q149" s="4">
        <f>N149*Table225[[#This Row],[2018]]</f>
        <v>-0.14991062893321108</v>
      </c>
      <c r="R149" s="4">
        <f>N149*Table225[[#This Row],[2017]]</f>
        <v>-2.7503178407053113E-2</v>
      </c>
      <c r="S149" s="47">
        <f>N149*Table225[[#This Row],[2016]]</f>
        <v>0.20723366170204177</v>
      </c>
      <c r="V149" s="4">
        <f t="shared" si="3"/>
        <v>3.6363636363636364E-3</v>
      </c>
      <c r="W149" s="66">
        <f>V149*Table225[[#This Row],[2020]]</f>
        <v>-7.707549090909091E-2</v>
      </c>
      <c r="X149" s="3">
        <f>V149*Table225[[#This Row],[2019]]</f>
        <v>-1.7985363636363636E-2</v>
      </c>
      <c r="Y149" s="4">
        <f>V149*Table225[[#This Row],[2018]]</f>
        <v>-0.16221720000000001</v>
      </c>
      <c r="Z149" s="4">
        <f>V149*Table225[[#This Row],[2017]]</f>
        <v>-2.9760989090909091E-2</v>
      </c>
      <c r="AA149" s="47">
        <f>V149*Table225[[#This Row],[2016]]</f>
        <v>0.22424603636363635</v>
      </c>
    </row>
    <row r="150" spans="1:27" x14ac:dyDescent="0.35">
      <c r="A150" s="83" t="s">
        <v>372</v>
      </c>
      <c r="B150" s="84" t="s">
        <v>868</v>
      </c>
      <c r="C150" s="84" t="str">
        <f>Table225[[#This Row],[Ticker]]&amp; ( "US EQUITY")</f>
        <v>OXYUS EQUITY</v>
      </c>
      <c r="D150" s="85">
        <v>4.7963891830062833E-2</v>
      </c>
      <c r="E150" s="85">
        <v>0.95203610816993711</v>
      </c>
      <c r="F150" s="86">
        <f>_xlfn.XLOOKUP(Table225[[#This Row],[Ticker]],'R'!B:B,'R'!D:D,"not found")</f>
        <v>51630000000</v>
      </c>
      <c r="G150" s="87">
        <v>-55.251939999999998</v>
      </c>
      <c r="H150" s="88">
        <v>-28.216660000000001</v>
      </c>
      <c r="I150" s="97">
        <v>-13.01831</v>
      </c>
      <c r="J150" s="97">
        <v>8.5561640000000008</v>
      </c>
      <c r="K150" s="104">
        <v>9.9113579999999999</v>
      </c>
      <c r="N150" s="4">
        <f>'R'!E148</f>
        <v>5.9540901935684759E-3</v>
      </c>
      <c r="O150" s="66">
        <f>N150*Table225[[#This Row],[2020]]</f>
        <v>-0.3289750341296338</v>
      </c>
      <c r="P150" s="3">
        <f>N150*Table225[[#This Row],[2019]]</f>
        <v>-0.16800453860125589</v>
      </c>
      <c r="Q150" s="4">
        <f>N150*Table225[[#This Row],[2018]]</f>
        <v>-7.7512191907834427E-2</v>
      </c>
      <c r="R150" s="4">
        <f>N150*Table225[[#This Row],[2017]]</f>
        <v>5.0944172166963626E-2</v>
      </c>
      <c r="S150" s="47">
        <f>N150*Table225[[#This Row],[2016]]</f>
        <v>5.9013119472746463E-2</v>
      </c>
      <c r="V150" s="4">
        <f t="shared" si="3"/>
        <v>3.6363636363636364E-3</v>
      </c>
      <c r="W150" s="66">
        <f>V150*Table225[[#This Row],[2020]]</f>
        <v>-0.20091614545454545</v>
      </c>
      <c r="X150" s="3">
        <f>V150*Table225[[#This Row],[2019]]</f>
        <v>-0.10260603636363637</v>
      </c>
      <c r="Y150" s="4">
        <f>V150*Table225[[#This Row],[2018]]</f>
        <v>-4.7339309090909089E-2</v>
      </c>
      <c r="Z150" s="4">
        <f>V150*Table225[[#This Row],[2017]]</f>
        <v>3.1113323636363641E-2</v>
      </c>
      <c r="AA150" s="47">
        <f>V150*Table225[[#This Row],[2016]]</f>
        <v>3.6041301818181819E-2</v>
      </c>
    </row>
    <row r="151" spans="1:27" x14ac:dyDescent="0.35">
      <c r="A151" s="83" t="s">
        <v>271</v>
      </c>
      <c r="B151" s="84" t="s">
        <v>769</v>
      </c>
      <c r="C151" s="84" t="str">
        <f>Table225[[#This Row],[Ticker]]&amp; ( "US EQUITY")</f>
        <v>HSYUS EQUITY</v>
      </c>
      <c r="D151" s="85">
        <v>0.26937869621679345</v>
      </c>
      <c r="E151" s="85">
        <v>0.73062130378320655</v>
      </c>
      <c r="F151" s="86">
        <f>_xlfn.XLOOKUP(Table225[[#This Row],[Ticker]],'R'!B:B,'R'!D:D,"not found")</f>
        <v>19350000000</v>
      </c>
      <c r="G151" s="87">
        <v>5.906129</v>
      </c>
      <c r="H151" s="88">
        <v>40.202489999999997</v>
      </c>
      <c r="I151" s="97">
        <v>-2.905983</v>
      </c>
      <c r="J151" s="97">
        <v>12.329510000000001</v>
      </c>
      <c r="K151" s="104">
        <v>18.750769999999999</v>
      </c>
      <c r="N151" s="4">
        <f>'R'!E149</f>
        <v>2.2314864467470464E-3</v>
      </c>
      <c r="O151" s="66">
        <f>N151*Table225[[#This Row],[2020]]</f>
        <v>1.3179446816239686E-2</v>
      </c>
      <c r="P151" s="3">
        <f>N151*Table225[[#This Row],[2019]]</f>
        <v>8.9711311560483661E-2</v>
      </c>
      <c r="Q151" s="4">
        <f>N151*Table225[[#This Row],[2018]]</f>
        <v>-6.4846616789773224E-3</v>
      </c>
      <c r="R151" s="4">
        <f>N151*Table225[[#This Row],[2017]]</f>
        <v>2.7513134460032177E-2</v>
      </c>
      <c r="S151" s="47">
        <f>N151*Table225[[#This Row],[2016]]</f>
        <v>4.1842089121071117E-2</v>
      </c>
      <c r="V151" s="4">
        <f t="shared" si="3"/>
        <v>3.6363636363636364E-3</v>
      </c>
      <c r="W151" s="66">
        <f>V151*Table225[[#This Row],[2020]]</f>
        <v>2.1476832727272726E-2</v>
      </c>
      <c r="X151" s="3">
        <f>V151*Table225[[#This Row],[2019]]</f>
        <v>0.14619087272727271</v>
      </c>
      <c r="Y151" s="4">
        <f>V151*Table225[[#This Row],[2018]]</f>
        <v>-1.0567210909090909E-2</v>
      </c>
      <c r="Z151" s="4">
        <f>V151*Table225[[#This Row],[2017]]</f>
        <v>4.4834581818181819E-2</v>
      </c>
      <c r="AA151" s="47">
        <f>V151*Table225[[#This Row],[2016]]</f>
        <v>6.8184618181818174E-2</v>
      </c>
    </row>
    <row r="152" spans="1:27" x14ac:dyDescent="0.35">
      <c r="A152" s="83" t="s">
        <v>215</v>
      </c>
      <c r="B152" s="84" t="s">
        <v>717</v>
      </c>
      <c r="C152" s="84" t="str">
        <f>Table225[[#This Row],[Ticker]]&amp; ( "US EQUITY")</f>
        <v>EMNUS EQUITY</v>
      </c>
      <c r="D152" s="85">
        <v>9.9303634455785564E-2</v>
      </c>
      <c r="E152" s="85">
        <v>0.90069636554421439</v>
      </c>
      <c r="F152" s="86">
        <f>_xlfn.XLOOKUP(Table225[[#This Row],[Ticker]],'R'!B:B,'R'!D:D,"not found")</f>
        <v>9980000000</v>
      </c>
      <c r="G152" s="87">
        <v>31.494679999999999</v>
      </c>
      <c r="H152" s="88">
        <v>12.03426</v>
      </c>
      <c r="I152" s="97">
        <v>-19.10266</v>
      </c>
      <c r="J152" s="97">
        <v>26.265309999999999</v>
      </c>
      <c r="K152" s="104">
        <v>14.394259999999999</v>
      </c>
      <c r="N152" s="4">
        <f>'R'!E150</f>
        <v>1.1509165239553241E-3</v>
      </c>
      <c r="O152" s="66">
        <f>N152*Table225[[#This Row],[2020]]</f>
        <v>3.6247747628685267E-2</v>
      </c>
      <c r="P152" s="3">
        <f>N152*Table225[[#This Row],[2019]]</f>
        <v>1.3850428687574598E-2</v>
      </c>
      <c r="Q152" s="4">
        <f>N152*Table225[[#This Row],[2018]]</f>
        <v>-2.198556704550041E-2</v>
      </c>
      <c r="R152" s="4">
        <f>N152*Table225[[#This Row],[2017]]</f>
        <v>3.0229179285809014E-2</v>
      </c>
      <c r="S152" s="47">
        <f>N152*Table225[[#This Row],[2016]]</f>
        <v>1.6566591684109164E-2</v>
      </c>
      <c r="V152" s="4">
        <f t="shared" si="3"/>
        <v>3.6363636363636364E-3</v>
      </c>
      <c r="W152" s="66">
        <f>V152*Table225[[#This Row],[2020]]</f>
        <v>0.11452610909090909</v>
      </c>
      <c r="X152" s="3">
        <f>V152*Table225[[#This Row],[2019]]</f>
        <v>4.3760945454545452E-2</v>
      </c>
      <c r="Y152" s="4">
        <f>V152*Table225[[#This Row],[2018]]</f>
        <v>-6.946421818181818E-2</v>
      </c>
      <c r="Z152" s="4">
        <f>V152*Table225[[#This Row],[2017]]</f>
        <v>9.5510218181818179E-2</v>
      </c>
      <c r="AA152" s="47">
        <f>V152*Table225[[#This Row],[2016]]</f>
        <v>5.2342763636363636E-2</v>
      </c>
    </row>
    <row r="153" spans="1:27" x14ac:dyDescent="0.35">
      <c r="A153" s="83" t="s">
        <v>329</v>
      </c>
      <c r="B153" s="84" t="s">
        <v>826</v>
      </c>
      <c r="C153" s="84" t="str">
        <f>Table225[[#This Row],[Ticker]]&amp; ( "US EQUITY")</f>
        <v>LYBUS EQUITY</v>
      </c>
      <c r="D153" s="85">
        <v>0.23890920488977119</v>
      </c>
      <c r="E153" s="85">
        <v>0.76109079511022881</v>
      </c>
      <c r="F153" s="86">
        <f>_xlfn.XLOOKUP(Table225[[#This Row],[Ticker]],'R'!B:B,'R'!D:D,"not found")</f>
        <v>38250000000</v>
      </c>
      <c r="G153" s="87">
        <v>2.570605</v>
      </c>
      <c r="H153" s="88">
        <v>19.44631</v>
      </c>
      <c r="I153" s="97">
        <v>-21.663080000000001</v>
      </c>
      <c r="J153" s="97">
        <v>33.70073</v>
      </c>
      <c r="K153" s="104">
        <v>2.8855200000000001</v>
      </c>
      <c r="N153" s="4">
        <f>'R'!E151</f>
        <v>4.4110778598488122E-3</v>
      </c>
      <c r="O153" s="66">
        <f>N153*Table225[[#This Row],[2020]]</f>
        <v>1.1339138801916657E-2</v>
      </c>
      <c r="P153" s="3">
        <f>N153*Table225[[#This Row],[2019]]</f>
        <v>8.5779187496756559E-2</v>
      </c>
      <c r="Q153" s="4">
        <f>N153*Table225[[#This Row],[2018]]</f>
        <v>-9.5557532564133615E-2</v>
      </c>
      <c r="R153" s="4">
        <f>N153*Table225[[#This Row],[2017]]</f>
        <v>0.14865654396374267</v>
      </c>
      <c r="S153" s="47">
        <f>N153*Table225[[#This Row],[2016]]</f>
        <v>1.2728253386150945E-2</v>
      </c>
      <c r="V153" s="4">
        <f t="shared" si="3"/>
        <v>3.6363636363636364E-3</v>
      </c>
      <c r="W153" s="66">
        <f>V153*Table225[[#This Row],[2020]]</f>
        <v>9.3476545454545448E-3</v>
      </c>
      <c r="X153" s="3">
        <f>V153*Table225[[#This Row],[2019]]</f>
        <v>7.0713854545454549E-2</v>
      </c>
      <c r="Y153" s="4">
        <f>V153*Table225[[#This Row],[2018]]</f>
        <v>-7.8774836363636372E-2</v>
      </c>
      <c r="Z153" s="4">
        <f>V153*Table225[[#This Row],[2017]]</f>
        <v>0.12254810909090909</v>
      </c>
      <c r="AA153" s="47">
        <f>V153*Table225[[#This Row],[2016]]</f>
        <v>1.04928E-2</v>
      </c>
    </row>
    <row r="154" spans="1:27" x14ac:dyDescent="0.35">
      <c r="A154" s="83" t="s">
        <v>513</v>
      </c>
      <c r="B154" s="84" t="s">
        <v>995</v>
      </c>
      <c r="C154" s="84" t="str">
        <f>Table225[[#This Row],[Ticker]]&amp; ( "US EQUITY")</f>
        <v>ZIONUS EQUITY</v>
      </c>
      <c r="D154" s="85">
        <v>0.13900954726072942</v>
      </c>
      <c r="E154" s="85">
        <v>0.86099045273927055</v>
      </c>
      <c r="F154" s="86">
        <f>_xlfn.XLOOKUP(Table225[[#This Row],[Ticker]],'R'!B:B,'R'!D:D,"not found")</f>
        <v>5580000000</v>
      </c>
      <c r="G154" s="87">
        <v>-13.160299999999999</v>
      </c>
      <c r="H154" s="88">
        <v>31.064830000000001</v>
      </c>
      <c r="I154" s="97">
        <v>-18.264520000000001</v>
      </c>
      <c r="J154" s="97">
        <v>19.26606</v>
      </c>
      <c r="K154" s="104">
        <v>59.227440000000001</v>
      </c>
      <c r="N154" s="4">
        <f>'R'!E152</f>
        <v>6.4349841720147383E-4</v>
      </c>
      <c r="O154" s="66">
        <f>N154*Table225[[#This Row],[2020]]</f>
        <v>-8.4686322198965561E-3</v>
      </c>
      <c r="P154" s="3">
        <f>N154*Table225[[#This Row],[2019]]</f>
        <v>1.9990168935632862E-2</v>
      </c>
      <c r="Q154" s="4">
        <f>N154*Table225[[#This Row],[2018]]</f>
        <v>-1.1753189710944663E-2</v>
      </c>
      <c r="R154" s="4">
        <f>N154*Table225[[#This Row],[2017]]</f>
        <v>1.2397679115708627E-2</v>
      </c>
      <c r="S154" s="47">
        <f>N154*Table225[[#This Row],[2016]]</f>
        <v>3.8112763894895263E-2</v>
      </c>
      <c r="V154" s="4">
        <f t="shared" si="3"/>
        <v>3.6363636363636364E-3</v>
      </c>
      <c r="W154" s="66">
        <f>V154*Table225[[#This Row],[2020]]</f>
        <v>-4.7855636363636364E-2</v>
      </c>
      <c r="X154" s="3">
        <f>V154*Table225[[#This Row],[2019]]</f>
        <v>0.11296301818181818</v>
      </c>
      <c r="Y154" s="4">
        <f>V154*Table225[[#This Row],[2018]]</f>
        <v>-6.6416436363636366E-2</v>
      </c>
      <c r="Z154" s="4">
        <f>V154*Table225[[#This Row],[2017]]</f>
        <v>7.0058399999999993E-2</v>
      </c>
      <c r="AA154" s="47">
        <f>V154*Table225[[#This Row],[2016]]</f>
        <v>0.2153725090909091</v>
      </c>
    </row>
    <row r="155" spans="1:27" x14ac:dyDescent="0.35">
      <c r="A155" s="83" t="s">
        <v>226</v>
      </c>
      <c r="B155" s="84" t="s">
        <v>727</v>
      </c>
      <c r="C155" s="84" t="str">
        <f>Table225[[#This Row],[Ticker]]&amp; ( "US EQUITY")</f>
        <v>EFXUS EQUITY</v>
      </c>
      <c r="D155" s="85">
        <v>0.27742942050520059</v>
      </c>
      <c r="E155" s="85">
        <v>0.72257057949479941</v>
      </c>
      <c r="F155" s="86">
        <f>_xlfn.XLOOKUP(Table225[[#This Row],[Ticker]],'R'!B:B,'R'!D:D,"not found")</f>
        <v>13220000000</v>
      </c>
      <c r="G155" s="87">
        <v>38.998449999999998</v>
      </c>
      <c r="H155" s="88">
        <v>52.315809999999999</v>
      </c>
      <c r="I155" s="97">
        <v>-19.969550000000002</v>
      </c>
      <c r="J155" s="97">
        <v>0.94989539999999995</v>
      </c>
      <c r="K155" s="104">
        <v>7.3352690000000003</v>
      </c>
      <c r="N155" s="4">
        <f>'R'!E153</f>
        <v>1.5245607662013412E-3</v>
      </c>
      <c r="O155" s="66">
        <f>N155*Table225[[#This Row],[2020]]</f>
        <v>5.9455506812664691E-2</v>
      </c>
      <c r="P155" s="3">
        <f>N155*Table225[[#This Row],[2019]]</f>
        <v>7.9758631378043787E-2</v>
      </c>
      <c r="Q155" s="4">
        <f>N155*Table225[[#This Row],[2018]]</f>
        <v>-3.0444792448695995E-2</v>
      </c>
      <c r="R155" s="4">
        <f>N155*Table225[[#This Row],[2017]]</f>
        <v>1.4481732588351294E-3</v>
      </c>
      <c r="S155" s="47">
        <f>N155*Table225[[#This Row],[2016]]</f>
        <v>1.1183063326932946E-2</v>
      </c>
      <c r="V155" s="4">
        <f t="shared" si="3"/>
        <v>3.6363636363636364E-3</v>
      </c>
      <c r="W155" s="66">
        <f>V155*Table225[[#This Row],[2020]]</f>
        <v>0.14181254545454544</v>
      </c>
      <c r="X155" s="3">
        <f>V155*Table225[[#This Row],[2019]]</f>
        <v>0.19023930909090908</v>
      </c>
      <c r="Y155" s="4">
        <f>V155*Table225[[#This Row],[2018]]</f>
        <v>-7.2616545454545461E-2</v>
      </c>
      <c r="Z155" s="4">
        <f>V155*Table225[[#This Row],[2017]]</f>
        <v>3.4541650909090905E-3</v>
      </c>
      <c r="AA155" s="47">
        <f>V155*Table225[[#This Row],[2016]]</f>
        <v>2.6673705454545456E-2</v>
      </c>
    </row>
    <row r="156" spans="1:27" x14ac:dyDescent="0.35">
      <c r="A156" s="83" t="s">
        <v>392</v>
      </c>
      <c r="B156" s="84" t="s">
        <v>888</v>
      </c>
      <c r="C156" s="84" t="str">
        <f>Table225[[#This Row],[Ticker]]&amp; ( "US EQUITY")</f>
        <v>PXDUS EQUITY</v>
      </c>
      <c r="D156" s="85">
        <v>0.19494126573384785</v>
      </c>
      <c r="E156" s="85">
        <v>0.80505873426615215</v>
      </c>
      <c r="F156" s="86">
        <f>_xlfn.XLOOKUP(Table225[[#This Row],[Ticker]],'R'!B:B,'R'!D:D,"not found")</f>
        <v>18730000000</v>
      </c>
      <c r="G156" s="87">
        <v>-22.84198</v>
      </c>
      <c r="H156" s="88">
        <v>16.072800000000001</v>
      </c>
      <c r="I156" s="97">
        <v>-23.767389999999999</v>
      </c>
      <c r="J156" s="97">
        <v>-3.9631370000000001</v>
      </c>
      <c r="K156" s="104">
        <v>43.691830000000003</v>
      </c>
      <c r="N156" s="4">
        <f>'R'!E154</f>
        <v>2.1599866226135493E-3</v>
      </c>
      <c r="O156" s="66">
        <f>N156*Table225[[#This Row],[2020]]</f>
        <v>-4.9338371234006237E-2</v>
      </c>
      <c r="P156" s="3">
        <f>N156*Table225[[#This Row],[2019]]</f>
        <v>3.4717032987943056E-2</v>
      </c>
      <c r="Q156" s="4">
        <f>N156*Table225[[#This Row],[2018]]</f>
        <v>-5.1337244454439046E-2</v>
      </c>
      <c r="R156" s="4">
        <f>N156*Table225[[#This Row],[2017]]</f>
        <v>-8.5603229035847942E-3</v>
      </c>
      <c r="S156" s="47">
        <f>N156*Table225[[#This Row],[2016]]</f>
        <v>9.4373768317505352E-2</v>
      </c>
      <c r="V156" s="4">
        <f t="shared" si="3"/>
        <v>3.6363636363636364E-3</v>
      </c>
      <c r="W156" s="66">
        <f>V156*Table225[[#This Row],[2020]]</f>
        <v>-8.3061745454545449E-2</v>
      </c>
      <c r="X156" s="3">
        <f>V156*Table225[[#This Row],[2019]]</f>
        <v>5.8446545454545459E-2</v>
      </c>
      <c r="Y156" s="4">
        <f>V156*Table225[[#This Row],[2018]]</f>
        <v>-8.642687272727273E-2</v>
      </c>
      <c r="Z156" s="4">
        <f>V156*Table225[[#This Row],[2017]]</f>
        <v>-1.4411407272727272E-2</v>
      </c>
      <c r="AA156" s="47">
        <f>V156*Table225[[#This Row],[2016]]</f>
        <v>0.15887938181818184</v>
      </c>
    </row>
    <row r="157" spans="1:27" x14ac:dyDescent="0.35">
      <c r="A157" s="83" t="s">
        <v>440</v>
      </c>
      <c r="B157" s="84" t="s">
        <v>933</v>
      </c>
      <c r="C157" s="84" t="str">
        <f>Table225[[#This Row],[Ticker]]&amp; ( "US EQUITY")</f>
        <v>SYYUS EQUITY</v>
      </c>
      <c r="D157" s="85">
        <v>0.21534171907756813</v>
      </c>
      <c r="E157" s="85">
        <v>0.78465828092243184</v>
      </c>
      <c r="F157" s="86">
        <f>_xlfn.XLOOKUP(Table225[[#This Row],[Ticker]],'R'!B:B,'R'!D:D,"not found")</f>
        <v>23230000000</v>
      </c>
      <c r="G157" s="87">
        <v>-10.39556</v>
      </c>
      <c r="H157" s="88">
        <v>39.629620000000003</v>
      </c>
      <c r="I157" s="97">
        <v>5.4736849999999997</v>
      </c>
      <c r="J157" s="97">
        <v>12.46415</v>
      </c>
      <c r="K157" s="104">
        <v>38.73536</v>
      </c>
      <c r="N157" s="4">
        <f>'R'!E155</f>
        <v>2.6789369590663509E-3</v>
      </c>
      <c r="O157" s="66">
        <f>N157*Table225[[#This Row],[2020]]</f>
        <v>-2.7849049894191794E-2</v>
      </c>
      <c r="P157" s="3">
        <f>N157*Table225[[#This Row],[2019]]</f>
        <v>0.10616525369175504</v>
      </c>
      <c r="Q157" s="4">
        <f>N157*Table225[[#This Row],[2018]]</f>
        <v>1.4663657048787098E-2</v>
      </c>
      <c r="R157" s="4">
        <f>N157*Table225[[#This Row],[2017]]</f>
        <v>3.3390672098346855E-2</v>
      </c>
      <c r="S157" s="47">
        <f>N157*Table225[[#This Row],[2016]]</f>
        <v>0.10376958752674037</v>
      </c>
      <c r="V157" s="4">
        <f t="shared" si="3"/>
        <v>3.6363636363636364E-3</v>
      </c>
      <c r="W157" s="66">
        <f>V157*Table225[[#This Row],[2020]]</f>
        <v>-3.7802036363636361E-2</v>
      </c>
      <c r="X157" s="3">
        <f>V157*Table225[[#This Row],[2019]]</f>
        <v>0.14410770909090911</v>
      </c>
      <c r="Y157" s="4">
        <f>V157*Table225[[#This Row],[2018]]</f>
        <v>1.9904309090909091E-2</v>
      </c>
      <c r="Z157" s="4">
        <f>V157*Table225[[#This Row],[2017]]</f>
        <v>4.5324181818181819E-2</v>
      </c>
      <c r="AA157" s="47">
        <f>V157*Table225[[#This Row],[2016]]</f>
        <v>0.14085585454545455</v>
      </c>
    </row>
    <row r="158" spans="1:27" x14ac:dyDescent="0.35">
      <c r="A158" s="83" t="s">
        <v>216</v>
      </c>
      <c r="B158" s="84" t="s">
        <v>718</v>
      </c>
      <c r="C158" s="84" t="str">
        <f>Table225[[#This Row],[Ticker]]&amp; ( "US EQUITY")</f>
        <v>ETNUS EQUITY</v>
      </c>
      <c r="D158" s="85">
        <v>6.8052082676696574E-2</v>
      </c>
      <c r="E158" s="85">
        <v>0.9319479173233034</v>
      </c>
      <c r="F158" s="86">
        <f>_xlfn.XLOOKUP(Table225[[#This Row],[Ticker]],'R'!B:B,'R'!D:D,"not found")</f>
        <v>23880000000</v>
      </c>
      <c r="G158" s="87">
        <v>31.1187</v>
      </c>
      <c r="H158" s="88">
        <v>42.795180000000002</v>
      </c>
      <c r="I158" s="97">
        <v>-10.10261</v>
      </c>
      <c r="J158" s="97">
        <v>21.561499999999999</v>
      </c>
      <c r="K158" s="104">
        <v>33.839210000000001</v>
      </c>
      <c r="N158" s="4">
        <f>'R'!E156</f>
        <v>2.753896452109533E-3</v>
      </c>
      <c r="O158" s="66">
        <f>N158*Table225[[#This Row],[2020]]</f>
        <v>8.5697677524260926E-2</v>
      </c>
      <c r="P158" s="3">
        <f>N158*Table225[[#This Row],[2019]]</f>
        <v>0.11785349436938886</v>
      </c>
      <c r="Q158" s="4">
        <f>N158*Table225[[#This Row],[2018]]</f>
        <v>-2.7821541836046289E-2</v>
      </c>
      <c r="R158" s="4">
        <f>N158*Table225[[#This Row],[2017]]</f>
        <v>5.9378138352159694E-2</v>
      </c>
      <c r="S158" s="47">
        <f>N158*Table225[[#This Row],[2016]]</f>
        <v>9.3189680361189436E-2</v>
      </c>
      <c r="V158" s="4">
        <f t="shared" si="3"/>
        <v>3.6363636363636364E-3</v>
      </c>
      <c r="W158" s="66">
        <f>V158*Table225[[#This Row],[2020]]</f>
        <v>0.11315890909090909</v>
      </c>
      <c r="X158" s="3">
        <f>V158*Table225[[#This Row],[2019]]</f>
        <v>0.15561883636363638</v>
      </c>
      <c r="Y158" s="4">
        <f>V158*Table225[[#This Row],[2018]]</f>
        <v>-3.6736763636363634E-2</v>
      </c>
      <c r="Z158" s="4">
        <f>V158*Table225[[#This Row],[2017]]</f>
        <v>7.8405454545454542E-2</v>
      </c>
      <c r="AA158" s="47">
        <f>V158*Table225[[#This Row],[2016]]</f>
        <v>0.12305167272727273</v>
      </c>
    </row>
    <row r="159" spans="1:27" x14ac:dyDescent="0.35">
      <c r="A159" s="83" t="s">
        <v>432</v>
      </c>
      <c r="B159" s="84" t="s">
        <v>925</v>
      </c>
      <c r="C159" s="84" t="str">
        <f>Table225[[#This Row],[Ticker]]&amp; ( "US EQUITY")</f>
        <v>SWKUS EQUITY</v>
      </c>
      <c r="D159" s="85">
        <v>0.29358353510895885</v>
      </c>
      <c r="E159" s="85">
        <v>0.70641646489104115</v>
      </c>
      <c r="F159" s="86">
        <f>_xlfn.XLOOKUP(Table225[[#This Row],[Ticker]],'R'!B:B,'R'!D:D,"not found")</f>
        <v>15980000000</v>
      </c>
      <c r="G159" s="87">
        <v>9.7417239999999996</v>
      </c>
      <c r="H159" s="88">
        <v>41.15157</v>
      </c>
      <c r="I159" s="97">
        <v>-28.134429999999998</v>
      </c>
      <c r="J159" s="97">
        <v>50.4801</v>
      </c>
      <c r="K159" s="104">
        <v>9.6545579999999998</v>
      </c>
      <c r="N159" s="4">
        <f>'R'!E157</f>
        <v>1.8428503058923928E-3</v>
      </c>
      <c r="O159" s="66">
        <f>N159*Table225[[#This Row],[2020]]</f>
        <v>1.7952539053319266E-2</v>
      </c>
      <c r="P159" s="3">
        <f>N159*Table225[[#This Row],[2019]]</f>
        <v>7.5836183362452222E-2</v>
      </c>
      <c r="Q159" s="4">
        <f>N159*Table225[[#This Row],[2018]]</f>
        <v>-5.1847542931608114E-2</v>
      </c>
      <c r="R159" s="4">
        <f>N159*Table225[[#This Row],[2017]]</f>
        <v>9.3027267726478582E-2</v>
      </c>
      <c r="S159" s="47">
        <f>N159*Table225[[#This Row],[2016]]</f>
        <v>1.779190516355585E-2</v>
      </c>
      <c r="V159" s="4">
        <f t="shared" si="3"/>
        <v>3.6363636363636364E-3</v>
      </c>
      <c r="W159" s="66">
        <f>V159*Table225[[#This Row],[2020]]</f>
        <v>3.542445090909091E-2</v>
      </c>
      <c r="X159" s="3">
        <f>V159*Table225[[#This Row],[2019]]</f>
        <v>0.14964207272727273</v>
      </c>
      <c r="Y159" s="4">
        <f>V159*Table225[[#This Row],[2018]]</f>
        <v>-0.10230701818181817</v>
      </c>
      <c r="Z159" s="4">
        <f>V159*Table225[[#This Row],[2017]]</f>
        <v>0.183564</v>
      </c>
      <c r="AA159" s="47">
        <f>V159*Table225[[#This Row],[2016]]</f>
        <v>3.5107483636363637E-2</v>
      </c>
    </row>
    <row r="160" spans="1:27" x14ac:dyDescent="0.35">
      <c r="A160" s="83" t="s">
        <v>471</v>
      </c>
      <c r="B160" s="84" t="s">
        <v>958</v>
      </c>
      <c r="C160" s="84" t="str">
        <f>Table225[[#This Row],[Ticker]]&amp; ( "US EQUITY")</f>
        <v>UHSUS EQUITY</v>
      </c>
      <c r="D160" s="85">
        <v>0.16883972992181948</v>
      </c>
      <c r="E160" s="85">
        <v>0.8311602700781805</v>
      </c>
      <c r="F160" s="86">
        <f>_xlfn.XLOOKUP(Table225[[#This Row],[Ticker]],'R'!B:B,'R'!D:D,"not found")</f>
        <v>11750000000</v>
      </c>
      <c r="G160" s="87">
        <v>-3.999549</v>
      </c>
      <c r="H160" s="88">
        <v>23.615500000000001</v>
      </c>
      <c r="I160" s="97">
        <v>3.1653639999999998</v>
      </c>
      <c r="J160" s="97">
        <v>6.9275019999999996</v>
      </c>
      <c r="K160" s="104">
        <v>-10.68078</v>
      </c>
      <c r="N160" s="4">
        <f>'R'!E158</f>
        <v>1.3550369896267594E-3</v>
      </c>
      <c r="O160" s="66">
        <f>N160*Table225[[#This Row],[2020]]</f>
        <v>-5.4195368368247163E-3</v>
      </c>
      <c r="P160" s="3">
        <f>N160*Table225[[#This Row],[2019]]</f>
        <v>3.1999876028530737E-2</v>
      </c>
      <c r="Q160" s="4">
        <f>N160*Table225[[#This Row],[2018]]</f>
        <v>4.2891853056329175E-3</v>
      </c>
      <c r="R160" s="4">
        <f>N160*Table225[[#This Row],[2017]]</f>
        <v>9.3870214557133548E-3</v>
      </c>
      <c r="S160" s="47">
        <f>N160*Table225[[#This Row],[2016]]</f>
        <v>-1.44728519780657E-2</v>
      </c>
      <c r="V160" s="4">
        <f t="shared" si="3"/>
        <v>3.6363636363636364E-3</v>
      </c>
      <c r="W160" s="66">
        <f>V160*Table225[[#This Row],[2020]]</f>
        <v>-1.4543814545454545E-2</v>
      </c>
      <c r="X160" s="3">
        <f>V160*Table225[[#This Row],[2019]]</f>
        <v>8.5874545454545453E-2</v>
      </c>
      <c r="Y160" s="4">
        <f>V160*Table225[[#This Row],[2018]]</f>
        <v>1.1510414545454544E-2</v>
      </c>
      <c r="Z160" s="4">
        <f>V160*Table225[[#This Row],[2017]]</f>
        <v>2.5190916363636361E-2</v>
      </c>
      <c r="AA160" s="47">
        <f>V160*Table225[[#This Row],[2016]]</f>
        <v>-3.8839200000000004E-2</v>
      </c>
    </row>
    <row r="161" spans="1:27" x14ac:dyDescent="0.35">
      <c r="A161" s="83" t="s">
        <v>307</v>
      </c>
      <c r="B161" s="84" t="s">
        <v>804</v>
      </c>
      <c r="C161" s="84" t="str">
        <f>Table225[[#This Row],[Ticker]]&amp; ( "US EQUITY")</f>
        <v>KSUUS EQUITY</v>
      </c>
      <c r="D161" s="85">
        <v>0.22992582563136515</v>
      </c>
      <c r="E161" s="85">
        <v>0.77007417436863479</v>
      </c>
      <c r="F161" s="86">
        <f>_xlfn.XLOOKUP(Table225[[#This Row],[Ticker]],'R'!B:B,'R'!D:D,"not found")</f>
        <v>8100000000</v>
      </c>
      <c r="G161" s="87">
        <v>34.551600000000001</v>
      </c>
      <c r="H161" s="88">
        <v>62.347239999999999</v>
      </c>
      <c r="I161" s="97">
        <v>-8.0696110000000001</v>
      </c>
      <c r="J161" s="97">
        <v>25.74888</v>
      </c>
      <c r="K161" s="104">
        <v>15.34355</v>
      </c>
      <c r="N161" s="4">
        <f>'R'!E159</f>
        <v>9.3411060561504264E-4</v>
      </c>
      <c r="O161" s="66">
        <f>N161*Table225[[#This Row],[2020]]</f>
        <v>3.2275016000968708E-2</v>
      </c>
      <c r="P161" s="3">
        <f>N161*Table225[[#This Row],[2019]]</f>
        <v>5.8239218114826408E-2</v>
      </c>
      <c r="Q161" s="4">
        <f>N161*Table225[[#This Row],[2018]]</f>
        <v>-7.5379092182878103E-3</v>
      </c>
      <c r="R161" s="4">
        <f>N161*Table225[[#This Row],[2017]]</f>
        <v>2.405230189070906E-2</v>
      </c>
      <c r="S161" s="47">
        <f>N161*Table225[[#This Row],[2016]]</f>
        <v>1.4332572782784688E-2</v>
      </c>
      <c r="V161" s="4">
        <f t="shared" si="3"/>
        <v>3.6363636363636364E-3</v>
      </c>
      <c r="W161" s="66">
        <f>V161*Table225[[#This Row],[2020]]</f>
        <v>0.12564218181818182</v>
      </c>
      <c r="X161" s="3">
        <f>V161*Table225[[#This Row],[2019]]</f>
        <v>0.22671723636363636</v>
      </c>
      <c r="Y161" s="4">
        <f>V161*Table225[[#This Row],[2018]]</f>
        <v>-2.9344040000000002E-2</v>
      </c>
      <c r="Z161" s="4">
        <f>V161*Table225[[#This Row],[2017]]</f>
        <v>9.3632290909090907E-2</v>
      </c>
      <c r="AA161" s="47">
        <f>V161*Table225[[#This Row],[2016]]</f>
        <v>5.5794727272727274E-2</v>
      </c>
    </row>
    <row r="162" spans="1:27" x14ac:dyDescent="0.35">
      <c r="A162" s="83" t="s">
        <v>331</v>
      </c>
      <c r="B162" s="84" t="s">
        <v>828</v>
      </c>
      <c r="C162" s="84" t="str">
        <f>Table225[[#This Row],[Ticker]]&amp; ( "US EQUITY")</f>
        <v>MROUS EQUITY</v>
      </c>
      <c r="D162" s="85">
        <v>0.14661635220125785</v>
      </c>
      <c r="E162" s="85">
        <v>0.8533836477987421</v>
      </c>
      <c r="F162" s="86">
        <f>_xlfn.XLOOKUP(Table225[[#This Row],[Ticker]],'R'!B:B,'R'!D:D,"not found")</f>
        <v>8520000000</v>
      </c>
      <c r="G162" s="87">
        <v>-50.376019999999997</v>
      </c>
      <c r="H162" s="88">
        <v>-3.9197389999999999</v>
      </c>
      <c r="I162" s="97">
        <v>-14.35514</v>
      </c>
      <c r="J162" s="97">
        <v>-0.79703930000000001</v>
      </c>
      <c r="K162" s="104">
        <v>39.88259</v>
      </c>
      <c r="N162" s="4">
        <f>'R'!E160</f>
        <v>9.8254597035063755E-4</v>
      </c>
      <c r="O162" s="66">
        <f>N162*Table225[[#This Row],[2020]]</f>
        <v>-4.9496755453303121E-2</v>
      </c>
      <c r="P162" s="3">
        <f>N162*Table225[[#This Row],[2019]]</f>
        <v>-3.8513237592762376E-3</v>
      </c>
      <c r="Q162" s="4">
        <f>N162*Table225[[#This Row],[2018]]</f>
        <v>-1.4104584960819252E-2</v>
      </c>
      <c r="R162" s="4">
        <f>N162*Table225[[#This Row],[2017]]</f>
        <v>-7.8312775242609289E-4</v>
      </c>
      <c r="S162" s="47">
        <f>N162*Table225[[#This Row],[2016]]</f>
        <v>3.9186478091646632E-2</v>
      </c>
      <c r="V162" s="4">
        <f t="shared" si="3"/>
        <v>3.6363636363636364E-3</v>
      </c>
      <c r="W162" s="66">
        <f>V162*Table225[[#This Row],[2020]]</f>
        <v>-0.18318552727272727</v>
      </c>
      <c r="X162" s="3">
        <f>V162*Table225[[#This Row],[2019]]</f>
        <v>-1.4253596363636363E-2</v>
      </c>
      <c r="Y162" s="4">
        <f>V162*Table225[[#This Row],[2018]]</f>
        <v>-5.2200509090909092E-2</v>
      </c>
      <c r="Z162" s="4">
        <f>V162*Table225[[#This Row],[2017]]</f>
        <v>-2.8983247272727271E-3</v>
      </c>
      <c r="AA162" s="47">
        <f>V162*Table225[[#This Row],[2016]]</f>
        <v>0.14502760000000001</v>
      </c>
    </row>
    <row r="163" spans="1:27" x14ac:dyDescent="0.35">
      <c r="A163" s="83" t="s">
        <v>149</v>
      </c>
      <c r="B163" s="84" t="s">
        <v>653</v>
      </c>
      <c r="C163" s="84" t="str">
        <f>Table225[[#This Row],[Ticker]]&amp; ( "US EQUITY")</f>
        <v>CPBUS EQUITY</v>
      </c>
      <c r="D163" s="85">
        <v>0.40596701934991897</v>
      </c>
      <c r="E163" s="85">
        <v>0.59403298065008103</v>
      </c>
      <c r="F163" s="86">
        <f>_xlfn.XLOOKUP(Table225[[#This Row],[Ticker]],'R'!B:B,'R'!D:D,"not found")</f>
        <v>16290000000</v>
      </c>
      <c r="G163" s="87">
        <v>0.70868730000000002</v>
      </c>
      <c r="H163" s="88">
        <v>55.176780000000001</v>
      </c>
      <c r="I163" s="97">
        <v>-29.101749999999999</v>
      </c>
      <c r="J163" s="97">
        <v>-18.30969</v>
      </c>
      <c r="K163" s="104">
        <v>17.646070000000002</v>
      </c>
      <c r="N163" s="4">
        <f>'R'!E161</f>
        <v>1.8786002179591412E-3</v>
      </c>
      <c r="O163" s="66">
        <f>N163*Table225[[#This Row],[2020]]</f>
        <v>1.3313401162448754E-3</v>
      </c>
      <c r="P163" s="3">
        <f>N163*Table225[[#This Row],[2019]]</f>
        <v>0.10365511093428359</v>
      </c>
      <c r="Q163" s="4">
        <f>N163*Table225[[#This Row],[2018]]</f>
        <v>-5.4670553892992434E-2</v>
      </c>
      <c r="R163" s="4">
        <f>N163*Table225[[#This Row],[2017]]</f>
        <v>-3.4396587624764309E-2</v>
      </c>
      <c r="S163" s="47">
        <f>N163*Table225[[#This Row],[2016]]</f>
        <v>3.3149910948122266E-2</v>
      </c>
      <c r="V163" s="4">
        <f t="shared" si="3"/>
        <v>3.6363636363636364E-3</v>
      </c>
      <c r="W163" s="66">
        <f>V163*Table225[[#This Row],[2020]]</f>
        <v>2.5770447272727274E-3</v>
      </c>
      <c r="X163" s="3">
        <f>V163*Table225[[#This Row],[2019]]</f>
        <v>0.20064283636363636</v>
      </c>
      <c r="Y163" s="4">
        <f>V163*Table225[[#This Row],[2018]]</f>
        <v>-0.10582454545454545</v>
      </c>
      <c r="Z163" s="4">
        <f>V163*Table225[[#This Row],[2017]]</f>
        <v>-6.6580690909090912E-2</v>
      </c>
      <c r="AA163" s="47">
        <f>V163*Table225[[#This Row],[2016]]</f>
        <v>6.4167527272727273E-2</v>
      </c>
    </row>
    <row r="164" spans="1:27" x14ac:dyDescent="0.35">
      <c r="A164" s="83" t="s">
        <v>512</v>
      </c>
      <c r="B164" s="84" t="s">
        <v>994</v>
      </c>
      <c r="C164" s="84" t="str">
        <f>Table225[[#This Row],[Ticker]]&amp; ( "US EQUITY")</f>
        <v>ZBHUS EQUITY</v>
      </c>
      <c r="D164" s="85">
        <v>0.27845037916254534</v>
      </c>
      <c r="E164" s="85">
        <v>0.72154962083745466</v>
      </c>
      <c r="F164" s="86">
        <f>_xlfn.XLOOKUP(Table225[[#This Row],[Ticker]],'R'!B:B,'R'!D:D,"not found")</f>
        <v>20790000000</v>
      </c>
      <c r="G164" s="87">
        <v>3.7584300000000002</v>
      </c>
      <c r="H164" s="88">
        <v>45.376139999999999</v>
      </c>
      <c r="I164" s="97">
        <v>-13.30622</v>
      </c>
      <c r="J164" s="97">
        <v>17.859349999999999</v>
      </c>
      <c r="K164" s="104">
        <v>1.453006</v>
      </c>
      <c r="N164" s="4">
        <f>'R'!E162</f>
        <v>2.3975505544119426E-3</v>
      </c>
      <c r="O164" s="66">
        <f>N164*Table225[[#This Row],[2020]]</f>
        <v>9.0110259302184775E-3</v>
      </c>
      <c r="P164" s="3">
        <f>N164*Table225[[#This Row],[2019]]</f>
        <v>0.10879158961407392</v>
      </c>
      <c r="Q164" s="4">
        <f>N164*Table225[[#This Row],[2018]]</f>
        <v>-3.1902335138127277E-2</v>
      </c>
      <c r="R164" s="4">
        <f>N164*Table225[[#This Row],[2017]]</f>
        <v>4.2818694493936924E-2</v>
      </c>
      <c r="S164" s="47">
        <f>N164*Table225[[#This Row],[2016]]</f>
        <v>3.4836553408638792E-3</v>
      </c>
      <c r="V164" s="4">
        <f t="shared" si="3"/>
        <v>3.6363636363636364E-3</v>
      </c>
      <c r="W164" s="66">
        <f>V164*Table225[[#This Row],[2020]]</f>
        <v>1.3667018181818182E-2</v>
      </c>
      <c r="X164" s="3">
        <f>V164*Table225[[#This Row],[2019]]</f>
        <v>0.16500414545454545</v>
      </c>
      <c r="Y164" s="4">
        <f>V164*Table225[[#This Row],[2018]]</f>
        <v>-4.8386254545454546E-2</v>
      </c>
      <c r="Z164" s="4">
        <f>V164*Table225[[#This Row],[2017]]</f>
        <v>6.4943090909090909E-2</v>
      </c>
      <c r="AA164" s="47">
        <f>V164*Table225[[#This Row],[2016]]</f>
        <v>5.2836581818181821E-3</v>
      </c>
    </row>
    <row r="165" spans="1:27" x14ac:dyDescent="0.35">
      <c r="A165" s="83" t="s">
        <v>32</v>
      </c>
      <c r="B165" s="84" t="s">
        <v>542</v>
      </c>
      <c r="C165" s="84" t="str">
        <f>Table225[[#This Row],[Ticker]]&amp; ( "US EQUITY")</f>
        <v>LENUS EQUITY</v>
      </c>
      <c r="D165" s="85">
        <v>0.35002298658419356</v>
      </c>
      <c r="E165" s="85">
        <v>0.64997701341580638</v>
      </c>
      <c r="F165" s="86">
        <f>_xlfn.XLOOKUP(Table225[[#This Row],[Ticker]],'R'!B:B,'R'!D:D,"not found")</f>
        <v>10070000000</v>
      </c>
      <c r="G165" s="87">
        <v>37.996859999999998</v>
      </c>
      <c r="H165" s="88">
        <v>42.950499999999998</v>
      </c>
      <c r="I165" s="97">
        <v>-37.906030000000001</v>
      </c>
      <c r="J165" s="97">
        <v>48.033160000000002</v>
      </c>
      <c r="K165" s="104">
        <v>-11.91103</v>
      </c>
      <c r="N165" s="4">
        <f>'R'!E163</f>
        <v>1.1612955306843802E-3</v>
      </c>
      <c r="O165" s="66">
        <f>N165*Table225[[#This Row],[2020]]</f>
        <v>4.4125583698040101E-2</v>
      </c>
      <c r="P165" s="3">
        <f>N165*Table225[[#This Row],[2019]]</f>
        <v>4.9878223690659473E-2</v>
      </c>
      <c r="Q165" s="4">
        <f>N165*Table225[[#This Row],[2018]]</f>
        <v>-4.402010322498804E-2</v>
      </c>
      <c r="R165" s="4">
        <f>N165*Table225[[#This Row],[2017]]</f>
        <v>5.5780694032647751E-2</v>
      </c>
      <c r="S165" s="47">
        <f>N165*Table225[[#This Row],[2016]]</f>
        <v>-1.3832225904847574E-2</v>
      </c>
      <c r="V165" s="4">
        <f t="shared" si="3"/>
        <v>3.6363636363636364E-3</v>
      </c>
      <c r="W165" s="66">
        <f>V165*Table225[[#This Row],[2020]]</f>
        <v>0.1381704</v>
      </c>
      <c r="X165" s="3">
        <f>V165*Table225[[#This Row],[2019]]</f>
        <v>0.15618363636363636</v>
      </c>
      <c r="Y165" s="4">
        <f>V165*Table225[[#This Row],[2018]]</f>
        <v>-0.1378401090909091</v>
      </c>
      <c r="Z165" s="4">
        <f>V165*Table225[[#This Row],[2017]]</f>
        <v>0.17466603636363637</v>
      </c>
      <c r="AA165" s="47">
        <f>V165*Table225[[#This Row],[2016]]</f>
        <v>-4.3312836363636364E-2</v>
      </c>
    </row>
    <row r="166" spans="1:27" x14ac:dyDescent="0.35">
      <c r="A166" s="83" t="s">
        <v>435</v>
      </c>
      <c r="B166" s="84" t="s">
        <v>928</v>
      </c>
      <c r="C166" s="84" t="str">
        <f>Table225[[#This Row],[Ticker]]&amp; ( "US EQUITY")</f>
        <v>STEUS EQUITY</v>
      </c>
      <c r="D166" s="85">
        <v>0.28887909763835035</v>
      </c>
      <c r="E166" s="85">
        <v>0.7111209023616496</v>
      </c>
      <c r="F166" s="86">
        <f>_xlfn.XLOOKUP(Table225[[#This Row],[Ticker]],'R'!B:B,'R'!D:D,"not found")</f>
        <v>6470000000</v>
      </c>
      <c r="G166" s="87">
        <v>25.526209999999999</v>
      </c>
      <c r="H166" s="88">
        <v>44.113489999999999</v>
      </c>
      <c r="I166" s="97">
        <v>23.65934</v>
      </c>
      <c r="J166" s="97">
        <v>31.712350000000001</v>
      </c>
      <c r="K166" s="104">
        <v>-9.1466309999999993</v>
      </c>
      <c r="N166" s="4">
        <f>'R'!E164</f>
        <v>7.46135261522139E-4</v>
      </c>
      <c r="O166" s="66">
        <f>N166*Table225[[#This Row],[2020]]</f>
        <v>1.9046005374019039E-2</v>
      </c>
      <c r="P166" s="3">
        <f>N166*Table225[[#This Row],[2019]]</f>
        <v>3.2914630397804262E-2</v>
      </c>
      <c r="Q166" s="4">
        <f>N166*Table225[[#This Row],[2018]]</f>
        <v>1.7653067838341203E-2</v>
      </c>
      <c r="R166" s="4">
        <f>N166*Table225[[#This Row],[2017]]</f>
        <v>2.3661702560731607E-2</v>
      </c>
      <c r="S166" s="47">
        <f>N166*Table225[[#This Row],[2016]]</f>
        <v>-6.8246239132315036E-3</v>
      </c>
      <c r="V166" s="4">
        <f t="shared" si="3"/>
        <v>3.6363636363636364E-3</v>
      </c>
      <c r="W166" s="66">
        <f>V166*Table225[[#This Row],[2020]]</f>
        <v>9.2822581818181815E-2</v>
      </c>
      <c r="X166" s="3">
        <f>V166*Table225[[#This Row],[2019]]</f>
        <v>0.16041269090909091</v>
      </c>
      <c r="Y166" s="4">
        <f>V166*Table225[[#This Row],[2018]]</f>
        <v>8.6033963636363633E-2</v>
      </c>
      <c r="Z166" s="4">
        <f>V166*Table225[[#This Row],[2017]]</f>
        <v>0.11531763636363637</v>
      </c>
      <c r="AA166" s="47">
        <f>V166*Table225[[#This Row],[2016]]</f>
        <v>-3.3260476363636361E-2</v>
      </c>
    </row>
    <row r="167" spans="1:27" x14ac:dyDescent="0.35">
      <c r="A167" s="83" t="s">
        <v>31</v>
      </c>
      <c r="B167" s="84" t="s">
        <v>541</v>
      </c>
      <c r="C167" s="84" t="str">
        <f>Table225[[#This Row],[Ticker]]&amp; ( "US EQUITY")</f>
        <v>NEMUS EQUITY</v>
      </c>
      <c r="D167" s="85">
        <v>0.4203391577753724</v>
      </c>
      <c r="E167" s="85">
        <v>0.57966084222462755</v>
      </c>
      <c r="F167" s="86">
        <f>_xlfn.XLOOKUP(Table225[[#This Row],[Ticker]],'R'!B:B,'R'!D:D,"not found")</f>
        <v>9530000000</v>
      </c>
      <c r="G167" s="87">
        <v>40.282730000000001</v>
      </c>
      <c r="H167" s="88">
        <v>30.570129999999999</v>
      </c>
      <c r="I167" s="97">
        <v>-6.1381759999999996</v>
      </c>
      <c r="J167" s="97">
        <v>10.898709999999999</v>
      </c>
      <c r="K167" s="104">
        <v>90.110439999999997</v>
      </c>
      <c r="N167" s="4">
        <f>'R'!E165</f>
        <v>1.099021490310044E-3</v>
      </c>
      <c r="O167" s="66">
        <f>N167*Table225[[#This Row],[2020]]</f>
        <v>4.4271585958357118E-2</v>
      </c>
      <c r="P167" s="3">
        <f>N167*Table225[[#This Row],[2019]]</f>
        <v>3.3597229831571783E-2</v>
      </c>
      <c r="Q167" s="4">
        <f>N167*Table225[[#This Row],[2018]]</f>
        <v>-6.7459873353053444E-3</v>
      </c>
      <c r="R167" s="4">
        <f>N167*Table225[[#This Row],[2017]]</f>
        <v>1.1977916506656978E-2</v>
      </c>
      <c r="S167" s="47">
        <f>N167*Table225[[#This Row],[2016]]</f>
        <v>9.9033310061293803E-2</v>
      </c>
      <c r="V167" s="4">
        <f t="shared" si="3"/>
        <v>3.6363636363636364E-3</v>
      </c>
      <c r="W167" s="66">
        <f>V167*Table225[[#This Row],[2020]]</f>
        <v>0.14648265454545456</v>
      </c>
      <c r="X167" s="3">
        <f>V167*Table225[[#This Row],[2019]]</f>
        <v>0.11116410909090908</v>
      </c>
      <c r="Y167" s="4">
        <f>V167*Table225[[#This Row],[2018]]</f>
        <v>-2.2320639999999999E-2</v>
      </c>
      <c r="Z167" s="4">
        <f>V167*Table225[[#This Row],[2017]]</f>
        <v>3.9631672727272728E-2</v>
      </c>
      <c r="AA167" s="47">
        <f>V167*Table225[[#This Row],[2016]]</f>
        <v>0.32767432727272727</v>
      </c>
    </row>
    <row r="168" spans="1:27" x14ac:dyDescent="0.35">
      <c r="A168" s="83" t="s">
        <v>78</v>
      </c>
      <c r="B168" s="84" t="s">
        <v>583</v>
      </c>
      <c r="C168" s="84" t="str">
        <f>Table225[[#This Row],[Ticker]]&amp; ( "US EQUITY")</f>
        <v>ABMDUS EQUITY</v>
      </c>
      <c r="D168" s="85">
        <v>0.42674990741230623</v>
      </c>
      <c r="E168" s="85">
        <v>0.57325009258769377</v>
      </c>
      <c r="F168" s="86">
        <f>_xlfn.XLOOKUP(Table225[[#This Row],[Ticker]],'R'!B:B,'R'!D:D,"not found")</f>
        <v>3830000000</v>
      </c>
      <c r="G168" s="87">
        <v>90.046270000000007</v>
      </c>
      <c r="H168" s="88">
        <v>-47.517240000000001</v>
      </c>
      <c r="I168" s="97">
        <v>73.437899999999999</v>
      </c>
      <c r="J168" s="97">
        <v>66.32056</v>
      </c>
      <c r="K168" s="104">
        <v>24.811669999999999</v>
      </c>
      <c r="N168" s="4">
        <f>'R'!E166</f>
        <v>4.4168439746982883E-4</v>
      </c>
      <c r="O168" s="66">
        <f>N168*Table225[[#This Row],[2020]]</f>
        <v>3.9772032509355529E-2</v>
      </c>
      <c r="P168" s="3">
        <f>N168*Table225[[#This Row],[2019]]</f>
        <v>-2.0987623518829251E-2</v>
      </c>
      <c r="Q168" s="4">
        <f>N168*Table225[[#This Row],[2018]]</f>
        <v>3.2436374612949542E-2</v>
      </c>
      <c r="R168" s="4">
        <f>N168*Table225[[#This Row],[2017]]</f>
        <v>2.9292756583461633E-2</v>
      </c>
      <c r="S168" s="47">
        <f>N168*Table225[[#This Row],[2016]]</f>
        <v>1.0958927514170227E-2</v>
      </c>
      <c r="V168" s="4">
        <f t="shared" si="3"/>
        <v>3.6363636363636364E-3</v>
      </c>
      <c r="W168" s="66">
        <f>V168*Table225[[#This Row],[2020]]</f>
        <v>0.32744098181818182</v>
      </c>
      <c r="X168" s="3">
        <f>V168*Table225[[#This Row],[2019]]</f>
        <v>-0.17278996363636365</v>
      </c>
      <c r="Y168" s="4">
        <f>V168*Table225[[#This Row],[2018]]</f>
        <v>0.26704690909090911</v>
      </c>
      <c r="Z168" s="4">
        <f>V168*Table225[[#This Row],[2017]]</f>
        <v>0.24116567272727274</v>
      </c>
      <c r="AA168" s="47">
        <f>V168*Table225[[#This Row],[2016]]</f>
        <v>9.0224254545454546E-2</v>
      </c>
    </row>
    <row r="169" spans="1:27" x14ac:dyDescent="0.35">
      <c r="A169" s="83" t="s">
        <v>458</v>
      </c>
      <c r="B169" s="84" t="s">
        <v>946</v>
      </c>
      <c r="C169" s="84" t="str">
        <f>Table225[[#This Row],[Ticker]]&amp; ( "US EQUITY")</f>
        <v>TDGUS EQUITY</v>
      </c>
      <c r="D169" s="85">
        <v>0.10948765305424447</v>
      </c>
      <c r="E169" s="85">
        <v>0.89051234694575554</v>
      </c>
      <c r="F169" s="86">
        <f>_xlfn.XLOOKUP(Table225[[#This Row],[Ticker]],'R'!B:B,'R'!D:D,"not found")</f>
        <v>12280000000</v>
      </c>
      <c r="G169" s="87">
        <v>10.508929999999999</v>
      </c>
      <c r="H169" s="88">
        <v>84.288169999999994</v>
      </c>
      <c r="I169" s="97">
        <v>23.82929</v>
      </c>
      <c r="J169" s="97">
        <v>19.616890000000001</v>
      </c>
      <c r="K169" s="104">
        <v>19.03004</v>
      </c>
      <c r="N169" s="4">
        <f>'R'!E167</f>
        <v>1.4161578070312005E-3</v>
      </c>
      <c r="O169" s="66">
        <f>N169*Table225[[#This Row],[2020]]</f>
        <v>1.4882303263044393E-2</v>
      </c>
      <c r="P169" s="3">
        <f>N169*Table225[[#This Row],[2019]]</f>
        <v>0.11936534998587302</v>
      </c>
      <c r="Q169" s="4">
        <f>N169*Table225[[#This Row],[2018]]</f>
        <v>3.3746035069510516E-2</v>
      </c>
      <c r="R169" s="4">
        <f>N169*Table225[[#This Row],[2017]]</f>
        <v>2.7780611923172289E-2</v>
      </c>
      <c r="S169" s="47">
        <f>N169*Table225[[#This Row],[2016]]</f>
        <v>2.6949539714116025E-2</v>
      </c>
      <c r="V169" s="4">
        <f t="shared" si="3"/>
        <v>3.6363636363636364E-3</v>
      </c>
      <c r="W169" s="66">
        <f>V169*Table225[[#This Row],[2020]]</f>
        <v>3.8214290909090905E-2</v>
      </c>
      <c r="X169" s="3">
        <f>V169*Table225[[#This Row],[2019]]</f>
        <v>0.30650243636363633</v>
      </c>
      <c r="Y169" s="4">
        <f>V169*Table225[[#This Row],[2018]]</f>
        <v>8.6651963636363641E-2</v>
      </c>
      <c r="Z169" s="4">
        <f>V169*Table225[[#This Row],[2017]]</f>
        <v>7.1334145454545458E-2</v>
      </c>
      <c r="AA169" s="47">
        <f>V169*Table225[[#This Row],[2016]]</f>
        <v>6.9200145454545448E-2</v>
      </c>
    </row>
    <row r="170" spans="1:27" x14ac:dyDescent="0.35">
      <c r="A170" s="83" t="s">
        <v>373</v>
      </c>
      <c r="B170" s="84" t="s">
        <v>869</v>
      </c>
      <c r="C170" s="84" t="str">
        <f>Table225[[#This Row],[Ticker]]&amp; ( "US EQUITY")</f>
        <v>ODFLUS EQUITY</v>
      </c>
      <c r="D170" s="85">
        <v>0.12575454380075082</v>
      </c>
      <c r="E170" s="85">
        <v>0.8742454561992492</v>
      </c>
      <c r="F170" s="86">
        <f>_xlfn.XLOOKUP(Table225[[#This Row],[Ticker]],'R'!B:B,'R'!D:D,"not found")</f>
        <v>4990000000</v>
      </c>
      <c r="G170" s="87">
        <v>54.814300000000003</v>
      </c>
      <c r="H170" s="88">
        <v>54.361449999999998</v>
      </c>
      <c r="I170" s="97">
        <v>-5.7914260000000004</v>
      </c>
      <c r="J170" s="97">
        <v>53.950229999999998</v>
      </c>
      <c r="K170" s="104">
        <v>45.234479999999998</v>
      </c>
      <c r="N170" s="4">
        <f>'R'!E168</f>
        <v>5.7545826197766205E-4</v>
      </c>
      <c r="O170" s="66">
        <f>N170*Table225[[#This Row],[2020]]</f>
        <v>3.154334180952216E-2</v>
      </c>
      <c r="P170" s="3">
        <f>N170*Table225[[#This Row],[2019]]</f>
        <v>3.1282745535585577E-2</v>
      </c>
      <c r="Q170" s="4">
        <f>N170*Table225[[#This Row],[2018]]</f>
        <v>-3.3327239403322436E-3</v>
      </c>
      <c r="R170" s="4">
        <f>N170*Table225[[#This Row],[2017]]</f>
        <v>3.1046105589095121E-2</v>
      </c>
      <c r="S170" s="47">
        <f>N170*Table225[[#This Row],[2016]]</f>
        <v>2.6030555242263314E-2</v>
      </c>
      <c r="V170" s="4">
        <f t="shared" si="3"/>
        <v>3.6363636363636364E-3</v>
      </c>
      <c r="W170" s="66">
        <f>V170*Table225[[#This Row],[2020]]</f>
        <v>0.19932472727272729</v>
      </c>
      <c r="X170" s="3">
        <f>V170*Table225[[#This Row],[2019]]</f>
        <v>0.19767799999999999</v>
      </c>
      <c r="Y170" s="4">
        <f>V170*Table225[[#This Row],[2018]]</f>
        <v>-2.1059730909090909E-2</v>
      </c>
      <c r="Z170" s="4">
        <f>V170*Table225[[#This Row],[2017]]</f>
        <v>0.19618265454545453</v>
      </c>
      <c r="AA170" s="47">
        <f>V170*Table225[[#This Row],[2016]]</f>
        <v>0.16448901818181819</v>
      </c>
    </row>
    <row r="171" spans="1:27" x14ac:dyDescent="0.35">
      <c r="A171" s="83" t="s">
        <v>28</v>
      </c>
      <c r="B171" s="84" t="s">
        <v>538</v>
      </c>
      <c r="C171" s="84" t="str">
        <f>Table225[[#This Row],[Ticker]]&amp; ( "US EQUITY")</f>
        <v>LKQUS EQUITY</v>
      </c>
      <c r="D171" s="85">
        <v>0.26496472470725141</v>
      </c>
      <c r="E171" s="85">
        <v>0.73503527529274859</v>
      </c>
      <c r="F171" s="86">
        <f>_xlfn.XLOOKUP(Table225[[#This Row],[Ticker]],'R'!B:B,'R'!D:D,"not found")</f>
        <v>9050000000</v>
      </c>
      <c r="G171" s="87">
        <v>-1.2885089999999999</v>
      </c>
      <c r="H171" s="88">
        <v>50.442500000000003</v>
      </c>
      <c r="I171" s="97">
        <v>-41.652329999999999</v>
      </c>
      <c r="J171" s="97">
        <v>32.691670000000002</v>
      </c>
      <c r="K171" s="104">
        <v>3.4424540000000001</v>
      </c>
      <c r="N171" s="4">
        <f>'R'!E169</f>
        <v>1.0436667877550786E-3</v>
      </c>
      <c r="O171" s="66">
        <f>N171*Table225[[#This Row],[2020]]</f>
        <v>-1.3447740490235085E-3</v>
      </c>
      <c r="P171" s="3">
        <f>N171*Table225[[#This Row],[2019]]</f>
        <v>5.2645161941335554E-2</v>
      </c>
      <c r="Q171" s="4">
        <f>N171*Table225[[#This Row],[2018]]</f>
        <v>-4.3471153453614492E-2</v>
      </c>
      <c r="R171" s="4">
        <f>N171*Table225[[#This Row],[2017]]</f>
        <v>3.4119210215249073E-2</v>
      </c>
      <c r="S171" s="47">
        <f>N171*Table225[[#This Row],[2016]]</f>
        <v>3.5927749081746214E-3</v>
      </c>
      <c r="V171" s="4">
        <f t="shared" si="3"/>
        <v>3.6363636363636364E-3</v>
      </c>
      <c r="W171" s="66">
        <f>V171*Table225[[#This Row],[2020]]</f>
        <v>-4.6854872727272725E-3</v>
      </c>
      <c r="X171" s="3">
        <f>V171*Table225[[#This Row],[2019]]</f>
        <v>0.18342727272727274</v>
      </c>
      <c r="Y171" s="4">
        <f>V171*Table225[[#This Row],[2018]]</f>
        <v>-0.15146301818181818</v>
      </c>
      <c r="Z171" s="4">
        <f>V171*Table225[[#This Row],[2017]]</f>
        <v>0.11887880000000001</v>
      </c>
      <c r="AA171" s="47">
        <f>V171*Table225[[#This Row],[2016]]</f>
        <v>1.2518014545454545E-2</v>
      </c>
    </row>
    <row r="172" spans="1:27" x14ac:dyDescent="0.35">
      <c r="A172" s="83" t="s">
        <v>514</v>
      </c>
      <c r="B172" s="84" t="s">
        <v>996</v>
      </c>
      <c r="C172" s="84" t="str">
        <f>Table225[[#This Row],[Ticker]]&amp; ( "US EQUITY")</f>
        <v>ZTSUS EQUITY</v>
      </c>
      <c r="D172" s="85">
        <v>0.41969303996718982</v>
      </c>
      <c r="E172" s="85">
        <v>0.58030696003281013</v>
      </c>
      <c r="F172" s="86">
        <f>_xlfn.XLOOKUP(Table225[[#This Row],[Ticker]],'R'!B:B,'R'!D:D,"not found")</f>
        <v>23840000000</v>
      </c>
      <c r="G172" s="87">
        <v>25.756150000000002</v>
      </c>
      <c r="H172" s="88">
        <v>55.706859999999999</v>
      </c>
      <c r="I172" s="97">
        <v>19.453569999999999</v>
      </c>
      <c r="J172" s="97">
        <v>35.546210000000002</v>
      </c>
      <c r="K172" s="104">
        <v>12.64029</v>
      </c>
      <c r="N172" s="4">
        <f>'R'!E170</f>
        <v>2.7492835602299526E-3</v>
      </c>
      <c r="O172" s="66">
        <f>N172*Table225[[#This Row],[2020]]</f>
        <v>7.0810959769816703E-2</v>
      </c>
      <c r="P172" s="3">
        <f>N172*Table225[[#This Row],[2019]]</f>
        <v>0.15315395439003154</v>
      </c>
      <c r="Q172" s="4">
        <f>N172*Table225[[#This Row],[2018]]</f>
        <v>5.3483380188782598E-2</v>
      </c>
      <c r="R172" s="4">
        <f>N172*Table225[[#This Row],[2017]]</f>
        <v>9.7726610781481552E-2</v>
      </c>
      <c r="S172" s="47">
        <f>N172*Table225[[#This Row],[2016]]</f>
        <v>3.4751741493539066E-2</v>
      </c>
      <c r="V172" s="4">
        <f t="shared" si="3"/>
        <v>3.6363636363636364E-3</v>
      </c>
      <c r="W172" s="66">
        <f>V172*Table225[[#This Row],[2020]]</f>
        <v>9.3658727272727282E-2</v>
      </c>
      <c r="X172" s="3">
        <f>V172*Table225[[#This Row],[2019]]</f>
        <v>0.20257039999999998</v>
      </c>
      <c r="Y172" s="4">
        <f>V172*Table225[[#This Row],[2018]]</f>
        <v>7.0740254545454545E-2</v>
      </c>
      <c r="Z172" s="4">
        <f>V172*Table225[[#This Row],[2017]]</f>
        <v>0.12925894545454547</v>
      </c>
      <c r="AA172" s="47">
        <f>V172*Table225[[#This Row],[2016]]</f>
        <v>4.5964690909090909E-2</v>
      </c>
    </row>
    <row r="173" spans="1:27" x14ac:dyDescent="0.35">
      <c r="A173" s="83" t="s">
        <v>124</v>
      </c>
      <c r="B173" s="84" t="s">
        <v>628</v>
      </c>
      <c r="C173" s="84" t="str">
        <f>Table225[[#This Row],[Ticker]]&amp; ( "US EQUITY")</f>
        <v>ATOUS EQUITY</v>
      </c>
      <c r="D173" s="85">
        <v>0.18918736991752805</v>
      </c>
      <c r="E173" s="85">
        <v>0.81081263008247195</v>
      </c>
      <c r="F173" s="86">
        <f>_xlfn.XLOOKUP(Table225[[#This Row],[Ticker]],'R'!B:B,'R'!D:D,"not found")</f>
        <v>6440000000</v>
      </c>
      <c r="G173" s="87">
        <v>-12.72199</v>
      </c>
      <c r="H173" s="88">
        <v>23.144220000000001</v>
      </c>
      <c r="I173" s="97">
        <v>10.37379</v>
      </c>
      <c r="J173" s="97">
        <v>18.401820000000001</v>
      </c>
      <c r="K173" s="104">
        <v>20.422799999999999</v>
      </c>
      <c r="N173" s="4">
        <f>'R'!E171</f>
        <v>7.4267559261245362E-4</v>
      </c>
      <c r="O173" s="66">
        <f>N173*Table225[[#This Row],[2020]]</f>
        <v>-9.4483114624597086E-3</v>
      </c>
      <c r="P173" s="3">
        <f>N173*Table225[[#This Row],[2019]]</f>
        <v>1.7188647304053003E-2</v>
      </c>
      <c r="Q173" s="4">
        <f>N173*Table225[[#This Row],[2018]]</f>
        <v>7.7043606358871445E-3</v>
      </c>
      <c r="R173" s="4">
        <f>N173*Table225[[#This Row],[2017]]</f>
        <v>1.3666582573647702E-2</v>
      </c>
      <c r="S173" s="47">
        <f>N173*Table225[[#This Row],[2016]]</f>
        <v>1.5167515092805617E-2</v>
      </c>
      <c r="V173" s="4">
        <f t="shared" si="3"/>
        <v>3.6363636363636364E-3</v>
      </c>
      <c r="W173" s="66">
        <f>V173*Table225[[#This Row],[2020]]</f>
        <v>-4.6261781818181816E-2</v>
      </c>
      <c r="X173" s="3">
        <f>V173*Table225[[#This Row],[2019]]</f>
        <v>8.4160800000000008E-2</v>
      </c>
      <c r="Y173" s="4">
        <f>V173*Table225[[#This Row],[2018]]</f>
        <v>3.7722872727272726E-2</v>
      </c>
      <c r="Z173" s="4">
        <f>V173*Table225[[#This Row],[2017]]</f>
        <v>6.691570909090909E-2</v>
      </c>
      <c r="AA173" s="47">
        <f>V173*Table225[[#This Row],[2016]]</f>
        <v>7.4264727272727274E-2</v>
      </c>
    </row>
    <row r="174" spans="1:27" x14ac:dyDescent="0.35">
      <c r="A174" s="83" t="s">
        <v>394</v>
      </c>
      <c r="B174" s="84" t="s">
        <v>890</v>
      </c>
      <c r="C174" s="84" t="str">
        <f>Table225[[#This Row],[Ticker]]&amp; ( "US EQUITY")</f>
        <v>PPGUS EQUITY</v>
      </c>
      <c r="D174" s="85">
        <v>0.17021927587965324</v>
      </c>
      <c r="E174" s="85">
        <v>0.82978072412034676</v>
      </c>
      <c r="F174" s="86">
        <f>_xlfn.XLOOKUP(Table225[[#This Row],[Ticker]],'R'!B:B,'R'!D:D,"not found")</f>
        <v>26370000000</v>
      </c>
      <c r="G174" s="87">
        <v>10.03661</v>
      </c>
      <c r="H174" s="88">
        <v>32.81062</v>
      </c>
      <c r="I174" s="97">
        <v>-11.00197</v>
      </c>
      <c r="J174" s="97">
        <v>25.250530000000001</v>
      </c>
      <c r="K174" s="104">
        <v>-2.610284</v>
      </c>
      <c r="N174" s="4">
        <f>'R'!E172</f>
        <v>3.0410489716134166E-3</v>
      </c>
      <c r="O174" s="66">
        <f>N174*Table225[[#This Row],[2020]]</f>
        <v>3.0521822518984932E-2</v>
      </c>
      <c r="P174" s="3">
        <f>N174*Table225[[#This Row],[2019]]</f>
        <v>9.9778702208998607E-2</v>
      </c>
      <c r="Q174" s="4">
        <f>N174*Table225[[#This Row],[2018]]</f>
        <v>-3.3457529554221661E-2</v>
      </c>
      <c r="R174" s="4">
        <f>N174*Table225[[#This Row],[2017]]</f>
        <v>7.6788098289193724E-2</v>
      </c>
      <c r="S174" s="47">
        <f>N174*Table225[[#This Row],[2016]]</f>
        <v>-7.9380014738189564E-3</v>
      </c>
      <c r="V174" s="4">
        <f t="shared" si="3"/>
        <v>3.6363636363636364E-3</v>
      </c>
      <c r="W174" s="66">
        <f>V174*Table225[[#This Row],[2020]]</f>
        <v>3.6496763636363637E-2</v>
      </c>
      <c r="X174" s="3">
        <f>V174*Table225[[#This Row],[2019]]</f>
        <v>0.11931134545454546</v>
      </c>
      <c r="Y174" s="4">
        <f>V174*Table225[[#This Row],[2018]]</f>
        <v>-4.0007163636363634E-2</v>
      </c>
      <c r="Z174" s="4">
        <f>V174*Table225[[#This Row],[2017]]</f>
        <v>9.1820109090909097E-2</v>
      </c>
      <c r="AA174" s="47">
        <f>V174*Table225[[#This Row],[2016]]</f>
        <v>-9.4919418181818177E-3</v>
      </c>
    </row>
    <row r="175" spans="1:27" x14ac:dyDescent="0.35">
      <c r="A175" s="83" t="s">
        <v>183</v>
      </c>
      <c r="B175" s="84" t="s">
        <v>687</v>
      </c>
      <c r="C175" s="84" t="str">
        <f>Table225[[#This Row],[Ticker]]&amp; ( "US EQUITY")</f>
        <v>CAGUS EQUITY</v>
      </c>
      <c r="D175" s="85">
        <v>0.27905568476019132</v>
      </c>
      <c r="E175" s="85">
        <v>0.72094431523980873</v>
      </c>
      <c r="F175" s="86">
        <f>_xlfn.XLOOKUP(Table225[[#This Row],[Ticker]],'R'!B:B,'R'!D:D,"not found")</f>
        <v>18300000000</v>
      </c>
      <c r="G175" s="87">
        <v>8.6902380000000008</v>
      </c>
      <c r="H175" s="88">
        <v>65.50909</v>
      </c>
      <c r="I175" s="97">
        <v>-41.979770000000002</v>
      </c>
      <c r="J175" s="97">
        <v>-2.5646810000000002</v>
      </c>
      <c r="K175" s="104">
        <v>23.305710000000001</v>
      </c>
      <c r="N175" s="4">
        <f>'R'!E173</f>
        <v>2.1103980349080594E-3</v>
      </c>
      <c r="O175" s="66">
        <f>N175*Table225[[#This Row],[2020]]</f>
        <v>1.8339861198083347E-2</v>
      </c>
      <c r="P175" s="3">
        <f>N175*Table225[[#This Row],[2019]]</f>
        <v>0.1382502548046152</v>
      </c>
      <c r="Q175" s="4">
        <f>N175*Table225[[#This Row],[2018]]</f>
        <v>-8.8594024113892306E-2</v>
      </c>
      <c r="R175" s="4">
        <f>N175*Table225[[#This Row],[2017]]</f>
        <v>-5.4124977425660369E-3</v>
      </c>
      <c r="S175" s="47">
        <f>N175*Table225[[#This Row],[2016]]</f>
        <v>4.9184324586137113E-2</v>
      </c>
      <c r="V175" s="4">
        <f t="shared" si="3"/>
        <v>3.6363636363636364E-3</v>
      </c>
      <c r="W175" s="66">
        <f>V175*Table225[[#This Row],[2020]]</f>
        <v>3.1600865454545456E-2</v>
      </c>
      <c r="X175" s="3">
        <f>V175*Table225[[#This Row],[2019]]</f>
        <v>0.23821487272727274</v>
      </c>
      <c r="Y175" s="4">
        <f>V175*Table225[[#This Row],[2018]]</f>
        <v>-0.15265370909090908</v>
      </c>
      <c r="Z175" s="4">
        <f>V175*Table225[[#This Row],[2017]]</f>
        <v>-9.3261127272727274E-3</v>
      </c>
      <c r="AA175" s="47">
        <f>V175*Table225[[#This Row],[2016]]</f>
        <v>8.474803636363637E-2</v>
      </c>
    </row>
    <row r="176" spans="1:27" x14ac:dyDescent="0.35">
      <c r="A176" s="83" t="s">
        <v>380</v>
      </c>
      <c r="B176" s="84" t="s">
        <v>876</v>
      </c>
      <c r="C176" s="84" t="str">
        <f>Table225[[#This Row],[Ticker]]&amp; ( "US EQUITY")</f>
        <v>PHUS EQUITY</v>
      </c>
      <c r="D176" s="85">
        <v>0.24379171574401257</v>
      </c>
      <c r="E176" s="85">
        <v>0.75620828425598741</v>
      </c>
      <c r="F176" s="86">
        <f>_xlfn.XLOOKUP(Table225[[#This Row],[Ticker]],'R'!B:B,'R'!D:D,"not found")</f>
        <v>13100000000</v>
      </c>
      <c r="G176" s="87">
        <v>34.720709999999997</v>
      </c>
      <c r="H176" s="88">
        <v>40.757129999999997</v>
      </c>
      <c r="I176" s="97">
        <v>-23.999739999999999</v>
      </c>
      <c r="J176" s="97">
        <v>44.917319999999997</v>
      </c>
      <c r="K176" s="104">
        <v>47.548609999999996</v>
      </c>
      <c r="N176" s="4">
        <f>'R'!E174</f>
        <v>1.5107220905625999E-3</v>
      </c>
      <c r="O176" s="66">
        <f>N176*Table225[[#This Row],[2020]]</f>
        <v>5.2453343597017761E-2</v>
      </c>
      <c r="P176" s="3">
        <f>N176*Table225[[#This Row],[2019]]</f>
        <v>6.1572696638931654E-2</v>
      </c>
      <c r="Q176" s="4">
        <f>N176*Table225[[#This Row],[2018]]</f>
        <v>-3.6256937385758851E-2</v>
      </c>
      <c r="R176" s="4">
        <f>N176*Table225[[#This Row],[2017]]</f>
        <v>6.7857587572869277E-2</v>
      </c>
      <c r="S176" s="47">
        <f>N176*Table225[[#This Row],[2016]]</f>
        <v>7.1832735502545736E-2</v>
      </c>
      <c r="V176" s="4">
        <f t="shared" si="3"/>
        <v>3.6363636363636364E-3</v>
      </c>
      <c r="W176" s="66">
        <f>V176*Table225[[#This Row],[2020]]</f>
        <v>0.12625712727272725</v>
      </c>
      <c r="X176" s="3">
        <f>V176*Table225[[#This Row],[2019]]</f>
        <v>0.14820774545454543</v>
      </c>
      <c r="Y176" s="4">
        <f>V176*Table225[[#This Row],[2018]]</f>
        <v>-8.7271781818181821E-2</v>
      </c>
      <c r="Z176" s="4">
        <f>V176*Table225[[#This Row],[2017]]</f>
        <v>0.16333570909090908</v>
      </c>
      <c r="AA176" s="47">
        <f>V176*Table225[[#This Row],[2016]]</f>
        <v>0.17290403636363635</v>
      </c>
    </row>
    <row r="177" spans="1:27" x14ac:dyDescent="0.35">
      <c r="A177" s="83" t="s">
        <v>70</v>
      </c>
      <c r="B177" s="84" t="s">
        <v>576</v>
      </c>
      <c r="C177" s="84" t="str">
        <f>Table225[[#This Row],[Ticker]]&amp; ( "US EQUITY")</f>
        <v>OUS EQUITY</v>
      </c>
      <c r="D177" s="85">
        <v>0.49283330902977329</v>
      </c>
      <c r="E177" s="85">
        <v>0.50716669097022671</v>
      </c>
      <c r="F177" s="86">
        <f>_xlfn.XLOOKUP(Table225[[#This Row],[Ticker]],'R'!B:B,'R'!D:D,"not found")</f>
        <v>12930000000</v>
      </c>
      <c r="G177" s="87">
        <v>-11.557589999999999</v>
      </c>
      <c r="H177" s="88">
        <v>21.252669999999998</v>
      </c>
      <c r="I177" s="97">
        <v>15.930630000000001</v>
      </c>
      <c r="J177" s="97">
        <v>3.6818390000000001</v>
      </c>
      <c r="K177" s="104">
        <v>15.781129999999999</v>
      </c>
      <c r="N177" s="4">
        <f>'R'!E175</f>
        <v>1.4911173000743828E-3</v>
      </c>
      <c r="O177" s="66">
        <f>N177*Table225[[#This Row],[2020]]</f>
        <v>-1.7233722396166686E-2</v>
      </c>
      <c r="P177" s="3">
        <f>N177*Table225[[#This Row],[2019]]</f>
        <v>3.1690223909771831E-2</v>
      </c>
      <c r="Q177" s="4">
        <f>N177*Table225[[#This Row],[2018]]</f>
        <v>2.3754437994083964E-2</v>
      </c>
      <c r="R177" s="4">
        <f>N177*Table225[[#This Row],[2017]]</f>
        <v>5.4900538289885652E-3</v>
      </c>
      <c r="S177" s="47">
        <f>N177*Table225[[#This Row],[2016]]</f>
        <v>2.3531515957722845E-2</v>
      </c>
      <c r="V177" s="4">
        <f t="shared" si="3"/>
        <v>3.6363636363636364E-3</v>
      </c>
      <c r="W177" s="66">
        <f>V177*Table225[[#This Row],[2020]]</f>
        <v>-4.2027599999999998E-2</v>
      </c>
      <c r="X177" s="3">
        <f>V177*Table225[[#This Row],[2019]]</f>
        <v>7.7282436363636353E-2</v>
      </c>
      <c r="Y177" s="4">
        <f>V177*Table225[[#This Row],[2018]]</f>
        <v>5.7929563636363639E-2</v>
      </c>
      <c r="Z177" s="4">
        <f>V177*Table225[[#This Row],[2017]]</f>
        <v>1.3388505454545455E-2</v>
      </c>
      <c r="AA177" s="47">
        <f>V177*Table225[[#This Row],[2016]]</f>
        <v>5.7385927272727268E-2</v>
      </c>
    </row>
    <row r="178" spans="1:27" x14ac:dyDescent="0.35">
      <c r="A178" s="83" t="s">
        <v>319</v>
      </c>
      <c r="B178" s="84" t="s">
        <v>816</v>
      </c>
      <c r="C178" s="84" t="str">
        <f>Table225[[#This Row],[Ticker]]&amp; ( "US EQUITY")</f>
        <v>LVSUS EQUITY</v>
      </c>
      <c r="D178" s="85">
        <v>8.138078402083629E-4</v>
      </c>
      <c r="E178" s="85">
        <v>0.99918619215979165</v>
      </c>
      <c r="F178" s="86">
        <f>_xlfn.XLOOKUP(Table225[[#This Row],[Ticker]],'R'!B:B,'R'!D:D,"not found")</f>
        <v>34840000000</v>
      </c>
      <c r="G178" s="87">
        <v>-12.00417</v>
      </c>
      <c r="H178" s="88">
        <v>39.43535</v>
      </c>
      <c r="I178" s="97">
        <v>-21.564869999999999</v>
      </c>
      <c r="J178" s="97">
        <v>36.214320000000001</v>
      </c>
      <c r="K178" s="104">
        <v>28.74935</v>
      </c>
      <c r="N178" s="4">
        <f>'R'!E176</f>
        <v>4.0178288271145784E-3</v>
      </c>
      <c r="O178" s="66">
        <f>N178*Table225[[#This Row],[2020]]</f>
        <v>-4.8230700271584007E-2</v>
      </c>
      <c r="P178" s="3">
        <f>N178*Table225[[#This Row],[2019]]</f>
        <v>0.15844448603735289</v>
      </c>
      <c r="Q178" s="4">
        <f>N178*Table225[[#This Row],[2018]]</f>
        <v>-8.6643956338978353E-2</v>
      </c>
      <c r="R178" s="4">
        <f>N178*Table225[[#This Row],[2017]]</f>
        <v>0.14550293885035201</v>
      </c>
      <c r="S178" s="47">
        <f>N178*Table225[[#This Row],[2016]]</f>
        <v>0.1155099671908065</v>
      </c>
      <c r="V178" s="4">
        <f t="shared" si="3"/>
        <v>3.6363636363636364E-3</v>
      </c>
      <c r="W178" s="66">
        <f>V178*Table225[[#This Row],[2020]]</f>
        <v>-4.3651527272727274E-2</v>
      </c>
      <c r="X178" s="3">
        <f>V178*Table225[[#This Row],[2019]]</f>
        <v>0.14340127272727274</v>
      </c>
      <c r="Y178" s="4">
        <f>V178*Table225[[#This Row],[2018]]</f>
        <v>-7.8417709090909088E-2</v>
      </c>
      <c r="Z178" s="4">
        <f>V178*Table225[[#This Row],[2017]]</f>
        <v>0.13168843636363636</v>
      </c>
      <c r="AA178" s="47">
        <f>V178*Table225[[#This Row],[2016]]</f>
        <v>0.1045430909090909</v>
      </c>
    </row>
    <row r="179" spans="1:27" x14ac:dyDescent="0.35">
      <c r="A179" s="83" t="s">
        <v>233</v>
      </c>
      <c r="B179" s="84" t="s">
        <v>733</v>
      </c>
      <c r="C179" s="84" t="str">
        <f>Table225[[#This Row],[Ticker]]&amp; ( "US EQUITY")</f>
        <v>EVRGUS EQUITY</v>
      </c>
      <c r="D179" s="85">
        <v>0.2216239500323067</v>
      </c>
      <c r="E179" s="85">
        <v>0.77837604996769327</v>
      </c>
      <c r="F179" s="86">
        <f>_xlfn.XLOOKUP(Table225[[#This Row],[Ticker]],'R'!B:B,'R'!D:D,"not found")</f>
        <v>5990000000</v>
      </c>
      <c r="G179" s="87">
        <v>-11.62875</v>
      </c>
      <c r="H179" s="88">
        <v>18.38213</v>
      </c>
      <c r="I179" s="97">
        <v>10.924799999999999</v>
      </c>
      <c r="J179" s="97">
        <v>-3.4710169999999998</v>
      </c>
      <c r="K179" s="104">
        <v>36.782539999999997</v>
      </c>
      <c r="N179" s="4">
        <f>'R'!E177</f>
        <v>6.9078055896717354E-4</v>
      </c>
      <c r="O179" s="66">
        <f>N179*Table225[[#This Row],[2020]]</f>
        <v>-8.0329144250895195E-3</v>
      </c>
      <c r="P179" s="3">
        <f>N179*Table225[[#This Row],[2019]]</f>
        <v>1.2698018036407251E-2</v>
      </c>
      <c r="Q179" s="4">
        <f>N179*Table225[[#This Row],[2018]]</f>
        <v>7.546639450604577E-3</v>
      </c>
      <c r="R179" s="4">
        <f>N179*Table225[[#This Row],[2017]]</f>
        <v>-2.3977110634445615E-3</v>
      </c>
      <c r="S179" s="47">
        <f>N179*Table225[[#This Row],[2016]]</f>
        <v>2.5408663541432418E-2</v>
      </c>
      <c r="V179" s="4">
        <f t="shared" si="3"/>
        <v>3.6363636363636364E-3</v>
      </c>
      <c r="W179" s="66">
        <f>V179*Table225[[#This Row],[2020]]</f>
        <v>-4.2286363636363636E-2</v>
      </c>
      <c r="X179" s="3">
        <f>V179*Table225[[#This Row],[2019]]</f>
        <v>6.6844109090909085E-2</v>
      </c>
      <c r="Y179" s="4">
        <f>V179*Table225[[#This Row],[2018]]</f>
        <v>3.9726545454545452E-2</v>
      </c>
      <c r="Z179" s="4">
        <f>V179*Table225[[#This Row],[2017]]</f>
        <v>-1.2621879999999999E-2</v>
      </c>
      <c r="AA179" s="47">
        <f>V179*Table225[[#This Row],[2016]]</f>
        <v>0.1337546909090909</v>
      </c>
    </row>
    <row r="180" spans="1:27" x14ac:dyDescent="0.35">
      <c r="A180" s="83" t="s">
        <v>265</v>
      </c>
      <c r="B180" s="84" t="s">
        <v>763</v>
      </c>
      <c r="C180" s="84" t="str">
        <f>Table225[[#This Row],[Ticker]]&amp; ( "US EQUITY")</f>
        <v>GLUS EQUITY</v>
      </c>
      <c r="D180" s="85">
        <v>0.23562849546163014</v>
      </c>
      <c r="E180" s="85">
        <v>0.76437150453836988</v>
      </c>
      <c r="F180" s="86">
        <f>_xlfn.XLOOKUP(Table225[[#This Row],[Ticker]],'R'!B:B,'R'!D:D,"not found")</f>
        <v>6990000000</v>
      </c>
      <c r="G180" s="87">
        <v>-8.931101</v>
      </c>
      <c r="H180" s="88">
        <v>42.339669999999998</v>
      </c>
      <c r="I180" s="97">
        <v>-17.229970000000002</v>
      </c>
      <c r="J180" s="97">
        <v>23.92174</v>
      </c>
      <c r="K180" s="104">
        <v>30.267610000000001</v>
      </c>
      <c r="N180" s="4">
        <f>'R'!E178</f>
        <v>8.0610285595668493E-4</v>
      </c>
      <c r="O180" s="66">
        <f>N180*Table225[[#This Row],[2020]]</f>
        <v>-7.1993860229376044E-3</v>
      </c>
      <c r="P180" s="3">
        <f>N180*Table225[[#This Row],[2019]]</f>
        <v>3.4130128907263572E-2</v>
      </c>
      <c r="Q180" s="4">
        <f>N180*Table225[[#This Row],[2018]]</f>
        <v>-1.3889128025048004E-2</v>
      </c>
      <c r="R180" s="4">
        <f>N180*Table225[[#This Row],[2017]]</f>
        <v>1.9283382933453268E-2</v>
      </c>
      <c r="S180" s="47">
        <f>N180*Table225[[#This Row],[2016]]</f>
        <v>2.4398806863983116E-2</v>
      </c>
      <c r="V180" s="4">
        <f t="shared" si="3"/>
        <v>3.6363636363636364E-3</v>
      </c>
      <c r="W180" s="66">
        <f>V180*Table225[[#This Row],[2020]]</f>
        <v>-3.2476730909090909E-2</v>
      </c>
      <c r="X180" s="3">
        <f>V180*Table225[[#This Row],[2019]]</f>
        <v>0.15396243636363635</v>
      </c>
      <c r="Y180" s="4">
        <f>V180*Table225[[#This Row],[2018]]</f>
        <v>-6.2654436363636365E-2</v>
      </c>
      <c r="Z180" s="4">
        <f>V180*Table225[[#This Row],[2017]]</f>
        <v>8.698814545454546E-2</v>
      </c>
      <c r="AA180" s="47">
        <f>V180*Table225[[#This Row],[2016]]</f>
        <v>0.11006403636363636</v>
      </c>
    </row>
    <row r="181" spans="1:27" x14ac:dyDescent="0.35">
      <c r="A181" s="83" t="s">
        <v>402</v>
      </c>
      <c r="B181" s="84" t="s">
        <v>898</v>
      </c>
      <c r="C181" s="84" t="str">
        <f>Table225[[#This Row],[Ticker]]&amp; ( "US EQUITY")</f>
        <v>PHMUS EQUITY</v>
      </c>
      <c r="D181" s="85">
        <v>0.25761148129164529</v>
      </c>
      <c r="E181" s="85">
        <v>0.74238851870835465</v>
      </c>
      <c r="F181" s="86">
        <f>_xlfn.XLOOKUP(Table225[[#This Row],[Ticker]],'R'!B:B,'R'!D:D,"not found")</f>
        <v>6220000000</v>
      </c>
      <c r="G181" s="87">
        <v>12.64753</v>
      </c>
      <c r="H181" s="88">
        <v>51.326659999999997</v>
      </c>
      <c r="I181" s="97">
        <v>-20.76116</v>
      </c>
      <c r="J181" s="97">
        <v>83.413510000000002</v>
      </c>
      <c r="K181" s="104">
        <v>5.1247119999999997</v>
      </c>
      <c r="N181" s="4">
        <f>'R'!E179</f>
        <v>7.1730468727476118E-4</v>
      </c>
      <c r="O181" s="66">
        <f>N181*Table225[[#This Row],[2020]]</f>
        <v>9.0721325514481598E-3</v>
      </c>
      <c r="P181" s="3">
        <f>N181*Table225[[#This Row],[2019]]</f>
        <v>3.6816853800157992E-2</v>
      </c>
      <c r="Q181" s="4">
        <f>N181*Table225[[#This Row],[2018]]</f>
        <v>-1.4892077381261281E-2</v>
      </c>
      <c r="R181" s="4">
        <f>N181*Table225[[#This Row],[2017]]</f>
        <v>5.9832901705040166E-2</v>
      </c>
      <c r="S181" s="47">
        <f>N181*Table225[[#This Row],[2016]]</f>
        <v>3.6759799385332158E-3</v>
      </c>
      <c r="V181" s="4">
        <f t="shared" si="3"/>
        <v>3.6363636363636364E-3</v>
      </c>
      <c r="W181" s="66">
        <f>V181*Table225[[#This Row],[2020]]</f>
        <v>4.599101818181818E-2</v>
      </c>
      <c r="X181" s="3">
        <f>V181*Table225[[#This Row],[2019]]</f>
        <v>0.18664239999999999</v>
      </c>
      <c r="Y181" s="4">
        <f>V181*Table225[[#This Row],[2018]]</f>
        <v>-7.549512727272728E-2</v>
      </c>
      <c r="Z181" s="4">
        <f>V181*Table225[[#This Row],[2017]]</f>
        <v>0.30332185454545457</v>
      </c>
      <c r="AA181" s="47">
        <f>V181*Table225[[#This Row],[2016]]</f>
        <v>1.8635316363636363E-2</v>
      </c>
    </row>
    <row r="182" spans="1:27" x14ac:dyDescent="0.35">
      <c r="A182" s="83" t="s">
        <v>115</v>
      </c>
      <c r="B182" s="84" t="s">
        <v>619</v>
      </c>
      <c r="C182" s="84" t="str">
        <f>Table225[[#This Row],[Ticker]]&amp; ( "US EQUITY")</f>
        <v>AOSUS EQUITY</v>
      </c>
      <c r="D182" s="85">
        <v>0.26448893572181242</v>
      </c>
      <c r="E182" s="85">
        <v>0.73551106427818758</v>
      </c>
      <c r="F182" s="86">
        <f>_xlfn.XLOOKUP(Table225[[#This Row],[Ticker]],'R'!B:B,'R'!D:D,"not found")</f>
        <v>6740000000</v>
      </c>
      <c r="G182" s="87">
        <v>17.482880000000002</v>
      </c>
      <c r="H182" s="88">
        <v>13.60965</v>
      </c>
      <c r="I182" s="97">
        <v>-29.37613</v>
      </c>
      <c r="J182" s="97">
        <v>30.781829999999999</v>
      </c>
      <c r="K182" s="104">
        <v>25.077839999999998</v>
      </c>
      <c r="N182" s="4">
        <f>'R'!E180</f>
        <v>7.7727228170930711E-4</v>
      </c>
      <c r="O182" s="66">
        <f>N182*Table225[[#This Row],[2020]]</f>
        <v>1.3588958028450011E-2</v>
      </c>
      <c r="P182" s="3">
        <f>N182*Table225[[#This Row],[2019]]</f>
        <v>1.0578403708765071E-2</v>
      </c>
      <c r="Q182" s="4">
        <f>N182*Table225[[#This Row],[2018]]</f>
        <v>-2.2833251592889226E-2</v>
      </c>
      <c r="R182" s="4">
        <f>N182*Table225[[#This Row],[2017]]</f>
        <v>2.3925863239288001E-2</v>
      </c>
      <c r="S182" s="47">
        <f>N182*Table225[[#This Row],[2016]]</f>
        <v>1.9492309917140929E-2</v>
      </c>
      <c r="V182" s="4">
        <f t="shared" si="3"/>
        <v>3.6363636363636364E-3</v>
      </c>
      <c r="W182" s="66">
        <f>V182*Table225[[#This Row],[2020]]</f>
        <v>6.3574109090909103E-2</v>
      </c>
      <c r="X182" s="3">
        <f>V182*Table225[[#This Row],[2019]]</f>
        <v>4.9489636363636368E-2</v>
      </c>
      <c r="Y182" s="4">
        <f>V182*Table225[[#This Row],[2018]]</f>
        <v>-0.10682229090909091</v>
      </c>
      <c r="Z182" s="4">
        <f>V182*Table225[[#This Row],[2017]]</f>
        <v>0.11193392727272727</v>
      </c>
      <c r="AA182" s="47">
        <f>V182*Table225[[#This Row],[2016]]</f>
        <v>9.1192145454545445E-2</v>
      </c>
    </row>
    <row r="183" spans="1:27" x14ac:dyDescent="0.35">
      <c r="A183" s="83" t="s">
        <v>126</v>
      </c>
      <c r="B183" s="84" t="s">
        <v>630</v>
      </c>
      <c r="C183" s="84" t="str">
        <f>Table225[[#This Row],[Ticker]]&amp; ( "US EQUITY")</f>
        <v>AZOUS EQUITY</v>
      </c>
      <c r="D183" s="85">
        <v>0.1904587305467286</v>
      </c>
      <c r="E183" s="85">
        <v>0.80954126945327143</v>
      </c>
      <c r="F183" s="86">
        <f>_xlfn.XLOOKUP(Table225[[#This Row],[Ticker]],'R'!B:B,'R'!D:D,"not found")</f>
        <v>22410000000</v>
      </c>
      <c r="G183" s="87">
        <v>-0.4927337</v>
      </c>
      <c r="H183" s="88">
        <v>42.103430000000003</v>
      </c>
      <c r="I183" s="97">
        <v>17.848659999999999</v>
      </c>
      <c r="J183" s="97">
        <v>-9.9292280000000002</v>
      </c>
      <c r="K183" s="104">
        <v>6.4536210000000001</v>
      </c>
      <c r="N183" s="4">
        <f>'R'!E181</f>
        <v>2.5843726755349515E-3</v>
      </c>
      <c r="O183" s="66">
        <f>N183*Table225[[#This Row],[2020]]</f>
        <v>-1.2734075105952361E-3</v>
      </c>
      <c r="P183" s="3">
        <f>N183*Table225[[#This Row],[2019]]</f>
        <v>0.10881095403829855</v>
      </c>
      <c r="Q183" s="4">
        <f>N183*Table225[[#This Row],[2018]]</f>
        <v>4.6127589198913667E-2</v>
      </c>
      <c r="R183" s="4">
        <f>N183*Table225[[#This Row],[2017]]</f>
        <v>-2.5660825532356556E-2</v>
      </c>
      <c r="S183" s="47">
        <f>N183*Table225[[#This Row],[2016]]</f>
        <v>1.6678561770658549E-2</v>
      </c>
      <c r="V183" s="4">
        <f t="shared" si="3"/>
        <v>3.6363636363636364E-3</v>
      </c>
      <c r="W183" s="66">
        <f>V183*Table225[[#This Row],[2020]]</f>
        <v>-1.7917589090909092E-3</v>
      </c>
      <c r="X183" s="3">
        <f>V183*Table225[[#This Row],[2019]]</f>
        <v>0.15310338181818184</v>
      </c>
      <c r="Y183" s="4">
        <f>V183*Table225[[#This Row],[2018]]</f>
        <v>6.4904218181818171E-2</v>
      </c>
      <c r="Z183" s="4">
        <f>V183*Table225[[#This Row],[2017]]</f>
        <v>-3.6106283636363638E-2</v>
      </c>
      <c r="AA183" s="47">
        <f>V183*Table225[[#This Row],[2016]]</f>
        <v>2.3467712727272726E-2</v>
      </c>
    </row>
    <row r="184" spans="1:27" x14ac:dyDescent="0.35">
      <c r="A184" s="83" t="s">
        <v>457</v>
      </c>
      <c r="B184" s="84" t="s">
        <v>945</v>
      </c>
      <c r="C184" s="84" t="str">
        <f>Table225[[#This Row],[Ticker]]&amp; ( "US EQUITY")</f>
        <v>TTUS EQUITY</v>
      </c>
      <c r="D184" s="85">
        <v>0.25909347551499134</v>
      </c>
      <c r="E184" s="85">
        <v>0.7409065244850086</v>
      </c>
      <c r="F184" s="86">
        <f>_xlfn.XLOOKUP(Table225[[#This Row],[Ticker]],'R'!B:B,'R'!D:D,"not found")</f>
        <v>14440000000</v>
      </c>
      <c r="G184" s="87">
        <v>43.506219999999999</v>
      </c>
      <c r="H184" s="88">
        <v>48.307409999999997</v>
      </c>
      <c r="I184" s="97">
        <v>4.4088839999999996</v>
      </c>
      <c r="J184" s="97">
        <v>21.263200000000001</v>
      </c>
      <c r="K184" s="104">
        <v>38.502560000000003</v>
      </c>
      <c r="N184" s="4">
        <f>'R'!E182</f>
        <v>1.6652539685285451E-3</v>
      </c>
      <c r="O184" s="66">
        <f>N184*Table225[[#This Row],[2020]]</f>
        <v>7.2448905510675954E-2</v>
      </c>
      <c r="P184" s="3">
        <f>N184*Table225[[#This Row],[2019]]</f>
        <v>8.0444106211835523E-2</v>
      </c>
      <c r="Q184" s="4">
        <f>N184*Table225[[#This Row],[2018]]</f>
        <v>7.3419115777820058E-3</v>
      </c>
      <c r="R184" s="4">
        <f>N184*Table225[[#This Row],[2017]]</f>
        <v>3.5408628183616161E-2</v>
      </c>
      <c r="S184" s="47">
        <f>N184*Table225[[#This Row],[2016]]</f>
        <v>6.4116540838508429E-2</v>
      </c>
      <c r="V184" s="4">
        <f t="shared" si="3"/>
        <v>3.6363636363636364E-3</v>
      </c>
      <c r="W184" s="66">
        <f>V184*Table225[[#This Row],[2020]]</f>
        <v>0.15820443636363635</v>
      </c>
      <c r="X184" s="3">
        <f>V184*Table225[[#This Row],[2019]]</f>
        <v>0.17566330909090908</v>
      </c>
      <c r="Y184" s="4">
        <f>V184*Table225[[#This Row],[2018]]</f>
        <v>1.6032305454545454E-2</v>
      </c>
      <c r="Z184" s="4">
        <f>V184*Table225[[#This Row],[2017]]</f>
        <v>7.7320727272727277E-2</v>
      </c>
      <c r="AA184" s="47">
        <f>V184*Table225[[#This Row],[2016]]</f>
        <v>0.14000930909090911</v>
      </c>
    </row>
    <row r="185" spans="1:27" x14ac:dyDescent="0.35">
      <c r="A185" s="83" t="s">
        <v>264</v>
      </c>
      <c r="B185" s="84" t="s">
        <v>762</v>
      </c>
      <c r="C185" s="84" t="str">
        <f>Table225[[#This Row],[Ticker]]&amp; ( "US EQUITY")</f>
        <v>GPNUS EQUITY</v>
      </c>
      <c r="D185" s="85">
        <v>0.17409567753449701</v>
      </c>
      <c r="E185" s="85">
        <v>0.82590432246550294</v>
      </c>
      <c r="F185" s="86">
        <f>_xlfn.XLOOKUP(Table225[[#This Row],[Ticker]],'R'!B:B,'R'!D:D,"not found")</f>
        <v>8350000000</v>
      </c>
      <c r="G185" s="87">
        <v>18.532340000000001</v>
      </c>
      <c r="H185" s="88">
        <v>77.251589999999993</v>
      </c>
      <c r="I185" s="97">
        <v>2.9184580000000002</v>
      </c>
      <c r="J185" s="97">
        <v>44.485709999999997</v>
      </c>
      <c r="K185" s="104">
        <v>7.6592330000000004</v>
      </c>
      <c r="N185" s="4">
        <f>'R'!E183</f>
        <v>9.6294117986242046E-4</v>
      </c>
      <c r="O185" s="66">
        <f>N185*Table225[[#This Row],[2020]]</f>
        <v>1.784555334521153E-2</v>
      </c>
      <c r="P185" s="3">
        <f>N185*Table225[[#This Row],[2019]]</f>
        <v>7.4388737220847961E-2</v>
      </c>
      <c r="Q185" s="4">
        <f>N185*Table225[[#This Row],[2018]]</f>
        <v>2.8103033898989201E-3</v>
      </c>
      <c r="R185" s="4">
        <f>N185*Table225[[#This Row],[2017]]</f>
        <v>4.283712207441747E-2</v>
      </c>
      <c r="S185" s="47">
        <f>N185*Table225[[#This Row],[2016]]</f>
        <v>7.3753908618611865E-3</v>
      </c>
      <c r="V185" s="4">
        <f t="shared" si="3"/>
        <v>3.6363636363636364E-3</v>
      </c>
      <c r="W185" s="66">
        <f>V185*Table225[[#This Row],[2020]]</f>
        <v>6.7390327272727271E-2</v>
      </c>
      <c r="X185" s="3">
        <f>V185*Table225[[#This Row],[2019]]</f>
        <v>0.28091487272727272</v>
      </c>
      <c r="Y185" s="4">
        <f>V185*Table225[[#This Row],[2018]]</f>
        <v>1.0612574545454546E-2</v>
      </c>
      <c r="Z185" s="4">
        <f>V185*Table225[[#This Row],[2017]]</f>
        <v>0.16176621818181816</v>
      </c>
      <c r="AA185" s="47">
        <f>V185*Table225[[#This Row],[2016]]</f>
        <v>2.7851756363636366E-2</v>
      </c>
    </row>
    <row r="186" spans="1:27" x14ac:dyDescent="0.35">
      <c r="A186" s="83" t="s">
        <v>24</v>
      </c>
      <c r="B186" s="84" t="s">
        <v>535</v>
      </c>
      <c r="C186" s="84" t="str">
        <f>Table225[[#This Row],[Ticker]]&amp; ( "US EQUITY")</f>
        <v>MOSUS EQUITY</v>
      </c>
      <c r="D186" s="85">
        <v>0.29053052325581397</v>
      </c>
      <c r="E186" s="85">
        <v>0.70946947674418603</v>
      </c>
      <c r="F186" s="86">
        <f>_xlfn.XLOOKUP(Table225[[#This Row],[Ticker]],'R'!B:B,'R'!D:D,"not found")</f>
        <v>9730000000</v>
      </c>
      <c r="G186" s="87">
        <v>7.5665120000000003</v>
      </c>
      <c r="H186" s="88">
        <v>-25.278359999999999</v>
      </c>
      <c r="I186" s="97">
        <v>14.21686</v>
      </c>
      <c r="J186" s="97">
        <v>-10.393689999999999</v>
      </c>
      <c r="K186" s="104">
        <v>10.71163</v>
      </c>
      <c r="N186" s="4">
        <f>'R'!E184</f>
        <v>1.1220859497079463E-3</v>
      </c>
      <c r="O186" s="66">
        <f>N186*Table225[[#This Row],[2020]]</f>
        <v>8.4902768034965728E-3</v>
      </c>
      <c r="P186" s="3">
        <f>N186*Table225[[#This Row],[2019]]</f>
        <v>-2.836449258765936E-2</v>
      </c>
      <c r="Q186" s="4">
        <f>N186*Table225[[#This Row],[2018]]</f>
        <v>1.5952538854964914E-2</v>
      </c>
      <c r="R186" s="4">
        <f>N186*Table225[[#This Row],[2017]]</f>
        <v>-1.1662613514619984E-2</v>
      </c>
      <c r="S186" s="47">
        <f>N186*Table225[[#This Row],[2016]]</f>
        <v>1.2019369521470128E-2</v>
      </c>
      <c r="V186" s="4">
        <f t="shared" si="3"/>
        <v>3.6363636363636364E-3</v>
      </c>
      <c r="W186" s="66">
        <f>V186*Table225[[#This Row],[2020]]</f>
        <v>2.7514589090909092E-2</v>
      </c>
      <c r="X186" s="3">
        <f>V186*Table225[[#This Row],[2019]]</f>
        <v>-9.1921309090909092E-2</v>
      </c>
      <c r="Y186" s="4">
        <f>V186*Table225[[#This Row],[2018]]</f>
        <v>5.1697672727272728E-2</v>
      </c>
      <c r="Z186" s="4">
        <f>V186*Table225[[#This Row],[2017]]</f>
        <v>-3.779523636363636E-2</v>
      </c>
      <c r="AA186" s="47">
        <f>V186*Table225[[#This Row],[2016]]</f>
        <v>3.8951381818181814E-2</v>
      </c>
    </row>
    <row r="187" spans="1:27" x14ac:dyDescent="0.35">
      <c r="A187" s="83" t="s">
        <v>106</v>
      </c>
      <c r="B187" s="84" t="s">
        <v>610</v>
      </c>
      <c r="C187" s="84" t="str">
        <f>Table225[[#This Row],[Ticker]]&amp; ( "US EQUITY")</f>
        <v>AWKUS EQUITY</v>
      </c>
      <c r="D187" s="85">
        <v>0.48956119514939367</v>
      </c>
      <c r="E187" s="85">
        <v>0.51043880485060633</v>
      </c>
      <c r="F187" s="86">
        <f>_xlfn.XLOOKUP(Table225[[#This Row],[Ticker]],'R'!B:B,'R'!D:D,"not found")</f>
        <v>10650000000</v>
      </c>
      <c r="G187" s="87">
        <v>26.879429999999999</v>
      </c>
      <c r="H187" s="88">
        <v>37.779139999999998</v>
      </c>
      <c r="I187" s="97">
        <v>1.30949</v>
      </c>
      <c r="J187" s="97">
        <v>29.019079999999999</v>
      </c>
      <c r="K187" s="104">
        <v>23.591100000000001</v>
      </c>
      <c r="N187" s="4">
        <f>'R'!E185</f>
        <v>1.2281824629382968E-3</v>
      </c>
      <c r="O187" s="66">
        <f>N187*Table225[[#This Row],[2020]]</f>
        <v>3.3012844539777542E-2</v>
      </c>
      <c r="P187" s="3">
        <f>N187*Table225[[#This Row],[2019]]</f>
        <v>4.6399677212890726E-2</v>
      </c>
      <c r="Q187" s="4">
        <f>N187*Table225[[#This Row],[2018]]</f>
        <v>1.6082926533930704E-3</v>
      </c>
      <c r="R187" s="4">
        <f>N187*Table225[[#This Row],[2017]]</f>
        <v>3.5640725146603471E-2</v>
      </c>
      <c r="S187" s="47">
        <f>N187*Table225[[#This Row],[2016]]</f>
        <v>2.8974175301423655E-2</v>
      </c>
      <c r="V187" s="4">
        <f t="shared" si="3"/>
        <v>3.6363636363636364E-3</v>
      </c>
      <c r="W187" s="66">
        <f>V187*Table225[[#This Row],[2020]]</f>
        <v>9.7743381818181818E-2</v>
      </c>
      <c r="X187" s="3">
        <f>V187*Table225[[#This Row],[2019]]</f>
        <v>0.13737869090909091</v>
      </c>
      <c r="Y187" s="4">
        <f>V187*Table225[[#This Row],[2018]]</f>
        <v>4.761781818181818E-3</v>
      </c>
      <c r="Z187" s="4">
        <f>V187*Table225[[#This Row],[2017]]</f>
        <v>0.10552392727272727</v>
      </c>
      <c r="AA187" s="47">
        <f>V187*Table225[[#This Row],[2016]]</f>
        <v>8.5785818181818185E-2</v>
      </c>
    </row>
    <row r="188" spans="1:27" x14ac:dyDescent="0.35">
      <c r="A188" s="83" t="s">
        <v>503</v>
      </c>
      <c r="B188" s="84" t="s">
        <v>987</v>
      </c>
      <c r="C188" s="84" t="str">
        <f>Table225[[#This Row],[Ticker]]&amp; ( "US EQUITY")</f>
        <v>WRBUS EQUITY</v>
      </c>
      <c r="D188" s="85">
        <v>0.24552699228791774</v>
      </c>
      <c r="E188" s="85">
        <v>0.75447300771208226</v>
      </c>
      <c r="F188" s="86">
        <f>_xlfn.XLOOKUP(Table225[[#This Row],[Ticker]],'R'!B:B,'R'!D:D,"not found")</f>
        <v>6750000000</v>
      </c>
      <c r="G188" s="87">
        <v>-3.1483829999999999</v>
      </c>
      <c r="H188" s="88">
        <v>43.829230000000003</v>
      </c>
      <c r="I188" s="97">
        <v>5.9604290000000004</v>
      </c>
      <c r="J188" s="97">
        <v>10.1813</v>
      </c>
      <c r="K188" s="104">
        <v>24.746670000000002</v>
      </c>
      <c r="N188" s="4">
        <f>'R'!E186</f>
        <v>7.784255046792022E-4</v>
      </c>
      <c r="O188" s="66">
        <f>N188*Table225[[#This Row],[2020]]</f>
        <v>-2.4507816256984206E-3</v>
      </c>
      <c r="P188" s="3">
        <f>N188*Table225[[#This Row],[2019]]</f>
        <v>3.4117790482450831E-2</v>
      </c>
      <c r="Q188" s="4">
        <f>N188*Table225[[#This Row],[2018]]</f>
        <v>4.6397499524295531E-3</v>
      </c>
      <c r="R188" s="4">
        <f>N188*Table225[[#This Row],[2017]]</f>
        <v>7.9253835907903622E-3</v>
      </c>
      <c r="S188" s="47">
        <f>N188*Table225[[#This Row],[2016]]</f>
        <v>1.9263439083879674E-2</v>
      </c>
      <c r="V188" s="4">
        <f t="shared" si="3"/>
        <v>3.6363636363636364E-3</v>
      </c>
      <c r="W188" s="66">
        <f>V188*Table225[[#This Row],[2020]]</f>
        <v>-1.1448665454545454E-2</v>
      </c>
      <c r="X188" s="3">
        <f>V188*Table225[[#This Row],[2019]]</f>
        <v>0.15937901818181818</v>
      </c>
      <c r="Y188" s="4">
        <f>V188*Table225[[#This Row],[2018]]</f>
        <v>2.1674287272727275E-2</v>
      </c>
      <c r="Z188" s="4">
        <f>V188*Table225[[#This Row],[2017]]</f>
        <v>3.7022909090909092E-2</v>
      </c>
      <c r="AA188" s="47">
        <f>V188*Table225[[#This Row],[2016]]</f>
        <v>8.9987890909090915E-2</v>
      </c>
    </row>
    <row r="189" spans="1:27" x14ac:dyDescent="0.35">
      <c r="A189" s="83" t="s">
        <v>160</v>
      </c>
      <c r="B189" s="84" t="s">
        <v>664</v>
      </c>
      <c r="C189" s="84" t="str">
        <f>Table225[[#This Row],[Ticker]]&amp; ( "US EQUITY")</f>
        <v>CFUS EQUITY</v>
      </c>
      <c r="D189" s="85">
        <v>0.3011345086516487</v>
      </c>
      <c r="E189" s="85">
        <v>0.6988654913483513</v>
      </c>
      <c r="F189" s="86">
        <f>_xlfn.XLOOKUP(Table225[[#This Row],[Ticker]],'R'!B:B,'R'!D:D,"not found")</f>
        <v>9510000000</v>
      </c>
      <c r="G189" s="87">
        <v>-15.78462</v>
      </c>
      <c r="H189" s="88">
        <v>12.732699999999999</v>
      </c>
      <c r="I189" s="97">
        <v>5.1388980000000002</v>
      </c>
      <c r="J189" s="97">
        <v>40.34272</v>
      </c>
      <c r="K189" s="104">
        <v>-19.292339999999999</v>
      </c>
      <c r="N189" s="4">
        <f>'R'!E187</f>
        <v>1.0967150443702538E-3</v>
      </c>
      <c r="O189" s="66">
        <f>N189*Table225[[#This Row],[2020]]</f>
        <v>-1.7311230223667595E-2</v>
      </c>
      <c r="P189" s="3">
        <f>N189*Table225[[#This Row],[2019]]</f>
        <v>1.396414364545313E-2</v>
      </c>
      <c r="Q189" s="4">
        <f>N189*Table225[[#This Row],[2018]]</f>
        <v>5.6359067480842087E-3</v>
      </c>
      <c r="R189" s="4">
        <f>N189*Table225[[#This Row],[2017]]</f>
        <v>4.4244467954816728E-2</v>
      </c>
      <c r="S189" s="47">
        <f>N189*Table225[[#This Row],[2016]]</f>
        <v>-2.1158199519106021E-2</v>
      </c>
      <c r="V189" s="4">
        <f t="shared" si="3"/>
        <v>3.6363636363636364E-3</v>
      </c>
      <c r="W189" s="66">
        <f>V189*Table225[[#This Row],[2020]]</f>
        <v>-5.7398618181818184E-2</v>
      </c>
      <c r="X189" s="3">
        <f>V189*Table225[[#This Row],[2019]]</f>
        <v>4.6300727272727271E-2</v>
      </c>
      <c r="Y189" s="4">
        <f>V189*Table225[[#This Row],[2018]]</f>
        <v>1.868690181818182E-2</v>
      </c>
      <c r="Z189" s="4">
        <f>V189*Table225[[#This Row],[2017]]</f>
        <v>0.14670079999999999</v>
      </c>
      <c r="AA189" s="47">
        <f>V189*Table225[[#This Row],[2016]]</f>
        <v>-7.0153963636363628E-2</v>
      </c>
    </row>
    <row r="190" spans="1:27" x14ac:dyDescent="0.35">
      <c r="A190" s="83" t="s">
        <v>257</v>
      </c>
      <c r="B190" s="84" t="s">
        <v>755</v>
      </c>
      <c r="C190" s="84" t="str">
        <f>Table225[[#This Row],[Ticker]]&amp; ( "US EQUITY")</f>
        <v>GRMNUS EQUITY</v>
      </c>
      <c r="D190" s="85">
        <v>0.35325196197528008</v>
      </c>
      <c r="E190" s="85">
        <v>0.64674803802471992</v>
      </c>
      <c r="F190" s="86">
        <f>_xlfn.XLOOKUP(Table225[[#This Row],[Ticker]],'R'!B:B,'R'!D:D,"not found")</f>
        <v>7050000000</v>
      </c>
      <c r="G190" s="87">
        <v>25.791129999999999</v>
      </c>
      <c r="H190" s="88">
        <v>58.128369999999997</v>
      </c>
      <c r="I190" s="97">
        <v>9.8312849999999994</v>
      </c>
      <c r="J190" s="97">
        <v>27.583300000000001</v>
      </c>
      <c r="K190" s="104">
        <v>36.600389999999997</v>
      </c>
      <c r="N190" s="4">
        <f>'R'!E188</f>
        <v>8.1302219377605558E-4</v>
      </c>
      <c r="O190" s="66">
        <f>N190*Table225[[#This Row],[2020]]</f>
        <v>2.0968761092563439E-2</v>
      </c>
      <c r="P190" s="3">
        <f>N190*Table225[[#This Row],[2019]]</f>
        <v>4.7259654898026256E-2</v>
      </c>
      <c r="Q190" s="4">
        <f>N190*Table225[[#This Row],[2018]]</f>
        <v>7.9930528983376287E-3</v>
      </c>
      <c r="R190" s="4">
        <f>N190*Table225[[#This Row],[2017]]</f>
        <v>2.2425835077583074E-2</v>
      </c>
      <c r="S190" s="47">
        <f>N190*Table225[[#This Row],[2016]]</f>
        <v>2.9756929370859206E-2</v>
      </c>
      <c r="V190" s="4">
        <f t="shared" si="3"/>
        <v>3.6363636363636364E-3</v>
      </c>
      <c r="W190" s="66">
        <f>V190*Table225[[#This Row],[2020]]</f>
        <v>9.3785927272727262E-2</v>
      </c>
      <c r="X190" s="3">
        <f>V190*Table225[[#This Row],[2019]]</f>
        <v>0.2113758909090909</v>
      </c>
      <c r="Y190" s="4">
        <f>V190*Table225[[#This Row],[2018]]</f>
        <v>3.5750127272727271E-2</v>
      </c>
      <c r="Z190" s="4">
        <f>V190*Table225[[#This Row],[2017]]</f>
        <v>0.1003029090909091</v>
      </c>
      <c r="AA190" s="47">
        <f>V190*Table225[[#This Row],[2016]]</f>
        <v>0.13309232727272727</v>
      </c>
    </row>
    <row r="191" spans="1:27" x14ac:dyDescent="0.35">
      <c r="A191" s="83" t="s">
        <v>336</v>
      </c>
      <c r="B191" s="84" t="s">
        <v>833</v>
      </c>
      <c r="C191" s="84" t="str">
        <f>Table225[[#This Row],[Ticker]]&amp; ( "US EQUITY")</f>
        <v>MASUS EQUITY</v>
      </c>
      <c r="D191" s="85">
        <v>0.24285414773918512</v>
      </c>
      <c r="E191" s="85">
        <v>0.75714585226081488</v>
      </c>
      <c r="F191" s="86">
        <f>_xlfn.XLOOKUP(Table225[[#This Row],[Ticker]],'R'!B:B,'R'!D:D,"not found")</f>
        <v>9350000000</v>
      </c>
      <c r="G191" s="87">
        <v>15.76591</v>
      </c>
      <c r="H191" s="88">
        <v>66.269829999999999</v>
      </c>
      <c r="I191" s="97">
        <v>-32.697279999999999</v>
      </c>
      <c r="J191" s="97">
        <v>40.54786</v>
      </c>
      <c r="K191" s="104">
        <v>13.136570000000001</v>
      </c>
      <c r="N191" s="4">
        <f>'R'!E189</f>
        <v>1.078263476851932E-3</v>
      </c>
      <c r="O191" s="66">
        <f>N191*Table225[[#This Row],[2020]]</f>
        <v>1.6999804932334644E-2</v>
      </c>
      <c r="P191" s="3">
        <f>N191*Table225[[#This Row],[2019]]</f>
        <v>7.145633730618646E-2</v>
      </c>
      <c r="Q191" s="4">
        <f>N191*Table225[[#This Row],[2018]]</f>
        <v>-3.5256282816401134E-2</v>
      </c>
      <c r="R191" s="4">
        <f>N191*Table225[[#This Row],[2017]]</f>
        <v>4.3721276502505374E-2</v>
      </c>
      <c r="S191" s="47">
        <f>N191*Table225[[#This Row],[2016]]</f>
        <v>1.4164683642108785E-2</v>
      </c>
      <c r="V191" s="4">
        <f t="shared" si="3"/>
        <v>3.6363636363636364E-3</v>
      </c>
      <c r="W191" s="66">
        <f>V191*Table225[[#This Row],[2020]]</f>
        <v>5.7330581818181819E-2</v>
      </c>
      <c r="X191" s="3">
        <f>V191*Table225[[#This Row],[2019]]</f>
        <v>0.24098120000000001</v>
      </c>
      <c r="Y191" s="4">
        <f>V191*Table225[[#This Row],[2018]]</f>
        <v>-0.1188992</v>
      </c>
      <c r="Z191" s="4">
        <f>V191*Table225[[#This Row],[2017]]</f>
        <v>0.14744676363636364</v>
      </c>
      <c r="AA191" s="47">
        <f>V191*Table225[[#This Row],[2016]]</f>
        <v>4.7769345454545455E-2</v>
      </c>
    </row>
    <row r="192" spans="1:27" x14ac:dyDescent="0.35">
      <c r="A192" s="83" t="s">
        <v>368</v>
      </c>
      <c r="B192" s="84" t="s">
        <v>864</v>
      </c>
      <c r="C192" s="84" t="str">
        <f>Table225[[#This Row],[Ticker]]&amp; ( "US EQUITY")</f>
        <v>NCLHUS EQUITY</v>
      </c>
      <c r="D192" s="85">
        <v>0.3075817463169242</v>
      </c>
      <c r="E192" s="85">
        <v>0.69241825368307586</v>
      </c>
      <c r="F192" s="86">
        <f>_xlfn.XLOOKUP(Table225[[#This Row],[Ticker]],'R'!B:B,'R'!D:D,"not found")</f>
        <v>13350000000</v>
      </c>
      <c r="G192" s="87">
        <v>-56.462940000000003</v>
      </c>
      <c r="H192" s="88">
        <v>37.791930000000001</v>
      </c>
      <c r="I192" s="97">
        <v>-20.394369999999999</v>
      </c>
      <c r="J192" s="97">
        <v>25.205760000000001</v>
      </c>
      <c r="K192" s="104">
        <v>-27.423200000000001</v>
      </c>
      <c r="N192" s="4">
        <f>'R'!E190</f>
        <v>1.5395526648099777E-3</v>
      </c>
      <c r="O192" s="66">
        <f>N192*Table225[[#This Row],[2020]]</f>
        <v>-8.6927669740005889E-2</v>
      </c>
      <c r="P192" s="3">
        <f>N192*Table225[[#This Row],[2019]]</f>
        <v>5.818266653981214E-2</v>
      </c>
      <c r="Q192" s="4">
        <f>N192*Table225[[#This Row],[2018]]</f>
        <v>-3.1398206680620662E-2</v>
      </c>
      <c r="R192" s="4">
        <f>N192*Table225[[#This Row],[2017]]</f>
        <v>3.8805594976560748E-2</v>
      </c>
      <c r="S192" s="47">
        <f>N192*Table225[[#This Row],[2016]]</f>
        <v>-4.221946063761698E-2</v>
      </c>
      <c r="V192" s="4">
        <f t="shared" si="3"/>
        <v>3.6363636363636364E-3</v>
      </c>
      <c r="W192" s="66">
        <f>V192*Table225[[#This Row],[2020]]</f>
        <v>-0.20531978181818183</v>
      </c>
      <c r="X192" s="3">
        <f>V192*Table225[[#This Row],[2019]]</f>
        <v>0.1374252</v>
      </c>
      <c r="Y192" s="4">
        <f>V192*Table225[[#This Row],[2018]]</f>
        <v>-7.4161345454545446E-2</v>
      </c>
      <c r="Z192" s="4">
        <f>V192*Table225[[#This Row],[2017]]</f>
        <v>9.1657309090909092E-2</v>
      </c>
      <c r="AA192" s="47">
        <f>V192*Table225[[#This Row],[2016]]</f>
        <v>-9.972072727272728E-2</v>
      </c>
    </row>
    <row r="193" spans="1:27" x14ac:dyDescent="0.35">
      <c r="A193" s="83" t="s">
        <v>378</v>
      </c>
      <c r="B193" s="84" t="s">
        <v>874</v>
      </c>
      <c r="C193" s="84" t="str">
        <f>Table225[[#This Row],[Ticker]]&amp; ( "US EQUITY")</f>
        <v>PCARUS EQUITY</v>
      </c>
      <c r="D193" s="85">
        <v>6.0612695458609304E-2</v>
      </c>
      <c r="E193" s="85">
        <v>0.93938730454139074</v>
      </c>
      <c r="F193" s="86">
        <f>_xlfn.XLOOKUP(Table225[[#This Row],[Ticker]],'R'!B:B,'R'!D:D,"not found")</f>
        <v>16649999999.999998</v>
      </c>
      <c r="G193" s="87">
        <v>11.73643</v>
      </c>
      <c r="H193" s="88">
        <v>45.072859999999999</v>
      </c>
      <c r="I193" s="97">
        <v>-15.360139999999999</v>
      </c>
      <c r="J193" s="97">
        <v>14.83305</v>
      </c>
      <c r="K193" s="104">
        <v>38.412390000000002</v>
      </c>
      <c r="N193" s="4">
        <f>'R'!E191</f>
        <v>1.9201162448753651E-3</v>
      </c>
      <c r="O193" s="66">
        <f>N193*Table225[[#This Row],[2020]]</f>
        <v>2.2535309899842582E-2</v>
      </c>
      <c r="P193" s="3">
        <f>N193*Table225[[#This Row],[2019]]</f>
        <v>8.6545130688993041E-2</v>
      </c>
      <c r="Q193" s="4">
        <f>N193*Table225[[#This Row],[2018]]</f>
        <v>-2.949325433755989E-2</v>
      </c>
      <c r="R193" s="4">
        <f>N193*Table225[[#This Row],[2017]]</f>
        <v>2.8481180266048536E-2</v>
      </c>
      <c r="S193" s="47">
        <f>N193*Table225[[#This Row],[2016]]</f>
        <v>7.3756254043488026E-2</v>
      </c>
      <c r="V193" s="4">
        <f t="shared" si="3"/>
        <v>3.6363636363636364E-3</v>
      </c>
      <c r="W193" s="66">
        <f>V193*Table225[[#This Row],[2020]]</f>
        <v>4.2677927272727276E-2</v>
      </c>
      <c r="X193" s="3">
        <f>V193*Table225[[#This Row],[2019]]</f>
        <v>0.16390130909090908</v>
      </c>
      <c r="Y193" s="4">
        <f>V193*Table225[[#This Row],[2018]]</f>
        <v>-5.5855054545454544E-2</v>
      </c>
      <c r="Z193" s="4">
        <f>V193*Table225[[#This Row],[2017]]</f>
        <v>5.3938363636363638E-2</v>
      </c>
      <c r="AA193" s="47">
        <f>V193*Table225[[#This Row],[2016]]</f>
        <v>0.1396814181818182</v>
      </c>
    </row>
    <row r="194" spans="1:27" x14ac:dyDescent="0.35">
      <c r="A194" s="83" t="s">
        <v>384</v>
      </c>
      <c r="B194" s="84" t="s">
        <v>880</v>
      </c>
      <c r="C194" s="84" t="str">
        <f>Table225[[#This Row],[Ticker]]&amp; ( "US EQUITY")</f>
        <v>PENNUS EQUITY</v>
      </c>
      <c r="D194" s="85">
        <v>0.19205091408248581</v>
      </c>
      <c r="E194" s="85">
        <v>0.80794908591751424</v>
      </c>
      <c r="F194" s="86">
        <f>_xlfn.XLOOKUP(Table225[[#This Row],[Ticker]],'R'!B:B,'R'!D:D,"not found")</f>
        <v>1300000000</v>
      </c>
      <c r="G194" s="87">
        <v>237.91079999999999</v>
      </c>
      <c r="H194" s="88">
        <v>35.740850000000002</v>
      </c>
      <c r="I194" s="97">
        <v>-39.897849999999998</v>
      </c>
      <c r="J194" s="97">
        <v>127.1936</v>
      </c>
      <c r="K194" s="104">
        <v>-13.9201</v>
      </c>
      <c r="N194" s="4">
        <f>'R'!E192</f>
        <v>1.4991898608636488E-4</v>
      </c>
      <c r="O194" s="66">
        <f>N194*Table225[[#This Row],[2020]]</f>
        <v>3.5667345914995936E-2</v>
      </c>
      <c r="P194" s="3">
        <f>N194*Table225[[#This Row],[2019]]</f>
        <v>5.3582319938648548E-3</v>
      </c>
      <c r="Q194" s="4">
        <f>N194*Table225[[#This Row],[2018]]</f>
        <v>-5.9814452190258723E-3</v>
      </c>
      <c r="R194" s="4">
        <f>N194*Table225[[#This Row],[2017]]</f>
        <v>1.9068735548674661E-2</v>
      </c>
      <c r="S194" s="47">
        <f>N194*Table225[[#This Row],[2016]]</f>
        <v>-2.0868872782208074E-3</v>
      </c>
      <c r="V194" s="4">
        <f t="shared" si="3"/>
        <v>3.6363636363636364E-3</v>
      </c>
      <c r="W194" s="66">
        <f>V194*Table225[[#This Row],[2020]]</f>
        <v>0.8651301818181818</v>
      </c>
      <c r="X194" s="3">
        <f>V194*Table225[[#This Row],[2019]]</f>
        <v>0.12996672727272729</v>
      </c>
      <c r="Y194" s="4">
        <f>V194*Table225[[#This Row],[2018]]</f>
        <v>-0.14508309090909091</v>
      </c>
      <c r="Z194" s="4">
        <f>V194*Table225[[#This Row],[2017]]</f>
        <v>0.46252218181818183</v>
      </c>
      <c r="AA194" s="47">
        <f>V194*Table225[[#This Row],[2016]]</f>
        <v>-5.0618545454545451E-2</v>
      </c>
    </row>
    <row r="195" spans="1:27" x14ac:dyDescent="0.35">
      <c r="A195" s="83" t="s">
        <v>119</v>
      </c>
      <c r="B195" s="84" t="s">
        <v>623</v>
      </c>
      <c r="C195" s="84" t="str">
        <f>Table225[[#This Row],[Ticker]]&amp; ( "US EQUITY")</f>
        <v>APTVUS EQUITY</v>
      </c>
      <c r="D195" s="85">
        <v>0.32345043633922577</v>
      </c>
      <c r="E195" s="85">
        <v>0.67654956366077423</v>
      </c>
      <c r="F195" s="86">
        <f>_xlfn.XLOOKUP(Table225[[#This Row],[Ticker]],'R'!B:B,'R'!D:D,"not found")</f>
        <v>23850000000</v>
      </c>
      <c r="G195" s="87">
        <v>37.524149999999999</v>
      </c>
      <c r="H195" s="88">
        <v>55.876449999999998</v>
      </c>
      <c r="I195" s="97">
        <v>-26.705649999999999</v>
      </c>
      <c r="J195" s="97">
        <v>52.394869999999997</v>
      </c>
      <c r="K195" s="104">
        <v>-20.056650000000001</v>
      </c>
      <c r="N195" s="4">
        <f>'R'!E193</f>
        <v>2.7504367831998476E-3</v>
      </c>
      <c r="O195" s="66">
        <f>N195*Table225[[#This Row],[2020]]</f>
        <v>0.10320780241830856</v>
      </c>
      <c r="P195" s="3">
        <f>N195*Table225[[#This Row],[2019]]</f>
        <v>0.15368464339462712</v>
      </c>
      <c r="Q195" s="4">
        <f>N195*Table225[[#This Row],[2018]]</f>
        <v>-7.3452202079261009E-2</v>
      </c>
      <c r="R195" s="4">
        <f>N195*Table225[[#This Row],[2017]]</f>
        <v>0.14410877769897421</v>
      </c>
      <c r="S195" s="47">
        <f>N195*Table225[[#This Row],[2016]]</f>
        <v>-5.5164547907765225E-2</v>
      </c>
      <c r="V195" s="4">
        <f t="shared" si="3"/>
        <v>3.6363636363636364E-3</v>
      </c>
      <c r="W195" s="66">
        <f>V195*Table225[[#This Row],[2020]]</f>
        <v>0.13645145454545454</v>
      </c>
      <c r="X195" s="3">
        <f>V195*Table225[[#This Row],[2019]]</f>
        <v>0.2031870909090909</v>
      </c>
      <c r="Y195" s="4">
        <f>V195*Table225[[#This Row],[2018]]</f>
        <v>-9.7111454545454542E-2</v>
      </c>
      <c r="Z195" s="4">
        <f>V195*Table225[[#This Row],[2017]]</f>
        <v>0.1905268</v>
      </c>
      <c r="AA195" s="47">
        <f>V195*Table225[[#This Row],[2016]]</f>
        <v>-7.2933272727272735E-2</v>
      </c>
    </row>
    <row r="196" spans="1:27" x14ac:dyDescent="0.35">
      <c r="A196" s="83" t="s">
        <v>275</v>
      </c>
      <c r="B196" s="84" t="s">
        <v>773</v>
      </c>
      <c r="C196" s="84" t="str">
        <f>Table225[[#This Row],[Ticker]]&amp; ( "US EQUITY")</f>
        <v>HFCUS EQUITY</v>
      </c>
      <c r="D196" s="85">
        <v>4.082316562323874E-2</v>
      </c>
      <c r="E196" s="85">
        <v>0.95917683437676127</v>
      </c>
      <c r="F196" s="86">
        <f>_xlfn.XLOOKUP(Table225[[#This Row],[Ticker]],'R'!B:B,'R'!D:D,"not found")</f>
        <v>7190000000</v>
      </c>
      <c r="G196" s="87">
        <v>-46.486269999999998</v>
      </c>
      <c r="H196" s="88">
        <v>1.9795780000000001</v>
      </c>
      <c r="I196" s="97">
        <v>2.0333410000000001</v>
      </c>
      <c r="J196" s="97">
        <v>63.23565</v>
      </c>
      <c r="K196" s="104">
        <v>-14.045450000000001</v>
      </c>
      <c r="N196" s="4">
        <f>'R'!E194</f>
        <v>8.2916731535458718E-4</v>
      </c>
      <c r="O196" s="66">
        <f>N196*Table225[[#This Row],[2020]]</f>
        <v>-3.8544895696748481E-2</v>
      </c>
      <c r="P196" s="3">
        <f>N196*Table225[[#This Row],[2019]]</f>
        <v>1.641401375795003E-3</v>
      </c>
      <c r="Q196" s="4">
        <f>N196*Table225[[#This Row],[2018]]</f>
        <v>1.6859798981704117E-3</v>
      </c>
      <c r="R196" s="4">
        <f>N196*Table225[[#This Row],[2017]]</f>
        <v>5.2432934145202302E-2</v>
      </c>
      <c r="S196" s="47">
        <f>N196*Table225[[#This Row],[2016]]</f>
        <v>-1.1646028069447086E-2</v>
      </c>
      <c r="V196" s="4">
        <f t="shared" si="3"/>
        <v>3.6363636363636364E-3</v>
      </c>
      <c r="W196" s="66">
        <f>V196*Table225[[#This Row],[2020]]</f>
        <v>-0.16904098181818181</v>
      </c>
      <c r="X196" s="3">
        <f>V196*Table225[[#This Row],[2019]]</f>
        <v>7.1984654545454545E-3</v>
      </c>
      <c r="Y196" s="4">
        <f>V196*Table225[[#This Row],[2018]]</f>
        <v>7.3939672727272726E-3</v>
      </c>
      <c r="Z196" s="4">
        <f>V196*Table225[[#This Row],[2017]]</f>
        <v>0.22994781818181817</v>
      </c>
      <c r="AA196" s="47">
        <f>V196*Table225[[#This Row],[2016]]</f>
        <v>-5.107436363636364E-2</v>
      </c>
    </row>
    <row r="197" spans="1:27" x14ac:dyDescent="0.35">
      <c r="A197" s="83" t="s">
        <v>412</v>
      </c>
      <c r="B197" s="84" t="s">
        <v>907</v>
      </c>
      <c r="C197" s="84" t="str">
        <f>Table225[[#This Row],[Ticker]]&amp; ( "US EQUITY")</f>
        <v>RSGUS EQUITY</v>
      </c>
      <c r="D197" s="85">
        <v>0.23555643642850063</v>
      </c>
      <c r="E197" s="85">
        <v>0.76444356357149934</v>
      </c>
      <c r="F197" s="86">
        <f>_xlfn.XLOOKUP(Table225[[#This Row],[Ticker]],'R'!B:B,'R'!D:D,"not found")</f>
        <v>15200000000</v>
      </c>
      <c r="G197" s="87">
        <v>9.5301150000000003</v>
      </c>
      <c r="H197" s="88">
        <v>26.60793</v>
      </c>
      <c r="I197" s="97">
        <v>8.8418010000000002</v>
      </c>
      <c r="J197" s="97">
        <v>20.955870000000001</v>
      </c>
      <c r="K197" s="104">
        <v>32.851149999999997</v>
      </c>
      <c r="N197" s="4">
        <f>'R'!E195</f>
        <v>1.7528989142405738E-3</v>
      </c>
      <c r="O197" s="66">
        <f>N197*Table225[[#This Row],[2020]]</f>
        <v>1.6705328236087807E-2</v>
      </c>
      <c r="P197" s="3">
        <f>N197*Table225[[#This Row],[2019]]</f>
        <v>4.6641011607189191E-2</v>
      </c>
      <c r="Q197" s="4">
        <f>N197*Table225[[#This Row],[2018]]</f>
        <v>1.5498783372831219E-2</v>
      </c>
      <c r="R197" s="4">
        <f>N197*Table225[[#This Row],[2017]]</f>
        <v>3.6733521769966616E-2</v>
      </c>
      <c r="S197" s="47">
        <f>N197*Table225[[#This Row],[2016]]</f>
        <v>5.7584745166554221E-2</v>
      </c>
      <c r="V197" s="4">
        <f t="shared" ref="V197:V260" si="4">1/275</f>
        <v>3.6363636363636364E-3</v>
      </c>
      <c r="W197" s="66">
        <f>V197*Table225[[#This Row],[2020]]</f>
        <v>3.4654963636363639E-2</v>
      </c>
      <c r="X197" s="3">
        <f>V197*Table225[[#This Row],[2019]]</f>
        <v>9.6756109090909093E-2</v>
      </c>
      <c r="Y197" s="4">
        <f>V197*Table225[[#This Row],[2018]]</f>
        <v>3.2152003636363634E-2</v>
      </c>
      <c r="Z197" s="4">
        <f>V197*Table225[[#This Row],[2017]]</f>
        <v>7.6203163636363633E-2</v>
      </c>
      <c r="AA197" s="47">
        <f>V197*Table225[[#This Row],[2016]]</f>
        <v>0.11945872727272726</v>
      </c>
    </row>
    <row r="198" spans="1:27" x14ac:dyDescent="0.35">
      <c r="A198" s="83" t="s">
        <v>116</v>
      </c>
      <c r="B198" s="84" t="s">
        <v>620</v>
      </c>
      <c r="C198" s="84" t="str">
        <f>Table225[[#This Row],[Ticker]]&amp; ( "US EQUITY")</f>
        <v>APAUS EQUITY</v>
      </c>
      <c r="D198" s="85">
        <v>0.1427485380116959</v>
      </c>
      <c r="E198" s="85">
        <v>0.85725146198830404</v>
      </c>
      <c r="F198" s="86">
        <f>_xlfn.XLOOKUP(Table225[[#This Row],[Ticker]],'R'!B:B,'R'!D:D,"not found")</f>
        <v>16809999999.999998</v>
      </c>
      <c r="G198" s="87">
        <v>-43.700580000000002</v>
      </c>
      <c r="H198" s="88">
        <v>1.0566469999999999</v>
      </c>
      <c r="I198" s="97">
        <v>-36.38129</v>
      </c>
      <c r="J198" s="97">
        <v>-32.133960000000002</v>
      </c>
      <c r="K198" s="104">
        <v>45.638770000000001</v>
      </c>
      <c r="N198" s="4">
        <f>'R'!E196</f>
        <v>1.938567812393687E-3</v>
      </c>
      <c r="O198" s="66">
        <f>N198*Table225[[#This Row],[2020]]</f>
        <v>-8.471653777093531E-2</v>
      </c>
      <c r="P198" s="3">
        <f>N198*Table225[[#This Row],[2019]]</f>
        <v>2.048381863262352E-3</v>
      </c>
      <c r="Q198" s="4">
        <f>N198*Table225[[#This Row],[2018]]</f>
        <v>-7.0527597767360325E-2</v>
      </c>
      <c r="R198" s="4">
        <f>N198*Table225[[#This Row],[2017]]</f>
        <v>-6.2293860540746246E-2</v>
      </c>
      <c r="S198" s="47">
        <f>N198*Table225[[#This Row],[2016]]</f>
        <v>8.8473850519238631E-2</v>
      </c>
      <c r="V198" s="4">
        <f t="shared" si="4"/>
        <v>3.6363636363636364E-3</v>
      </c>
      <c r="W198" s="66">
        <f>V198*Table225[[#This Row],[2020]]</f>
        <v>-0.1589112</v>
      </c>
      <c r="X198" s="3">
        <f>V198*Table225[[#This Row],[2019]]</f>
        <v>3.8423527272727267E-3</v>
      </c>
      <c r="Y198" s="4">
        <f>V198*Table225[[#This Row],[2018]]</f>
        <v>-0.13229560000000001</v>
      </c>
      <c r="Z198" s="4">
        <f>V198*Table225[[#This Row],[2017]]</f>
        <v>-0.11685076363636364</v>
      </c>
      <c r="AA198" s="47">
        <f>V198*Table225[[#This Row],[2016]]</f>
        <v>0.16595916363636365</v>
      </c>
    </row>
    <row r="199" spans="1:27" x14ac:dyDescent="0.35">
      <c r="A199" s="83" t="s">
        <v>321</v>
      </c>
      <c r="B199" s="84" t="s">
        <v>818</v>
      </c>
      <c r="C199" s="84" t="str">
        <f>Table225[[#This Row],[Ticker]]&amp; ( "US EQUITY")</f>
        <v>LEGUS EQUITY</v>
      </c>
      <c r="D199" s="85">
        <v>8.1468091516472607E-2</v>
      </c>
      <c r="E199" s="85">
        <v>0.91853190848352739</v>
      </c>
      <c r="F199" s="86">
        <f>_xlfn.XLOOKUP(Table225[[#This Row],[Ticker]],'R'!B:B,'R'!D:D,"not found")</f>
        <v>5700000000</v>
      </c>
      <c r="G199" s="87">
        <v>-8.9008330000000004</v>
      </c>
      <c r="H199" s="88">
        <v>47.088610000000003</v>
      </c>
      <c r="I199" s="97">
        <v>-22.257829999999998</v>
      </c>
      <c r="J199" s="97">
        <v>0.5616546</v>
      </c>
      <c r="K199" s="104">
        <v>19.550650000000001</v>
      </c>
      <c r="N199" s="4">
        <f>'R'!E197</f>
        <v>6.5733709284021514E-4</v>
      </c>
      <c r="O199" s="66">
        <f>N199*Table225[[#This Row],[2020]]</f>
        <v>-5.8508476880762507E-3</v>
      </c>
      <c r="P199" s="3">
        <f>N199*Table225[[#This Row],[2019]]</f>
        <v>3.0953090003286686E-2</v>
      </c>
      <c r="Q199" s="4">
        <f>N199*Table225[[#This Row],[2018]]</f>
        <v>-1.4630897265131724E-2</v>
      </c>
      <c r="R199" s="4">
        <f>N199*Table225[[#This Row],[2017]]</f>
        <v>3.691964019443339E-4</v>
      </c>
      <c r="S199" s="47">
        <f>N199*Table225[[#This Row],[2016]]</f>
        <v>1.2851367434136552E-2</v>
      </c>
      <c r="V199" s="4">
        <f t="shared" si="4"/>
        <v>3.6363636363636364E-3</v>
      </c>
      <c r="W199" s="66">
        <f>V199*Table225[[#This Row],[2020]]</f>
        <v>-3.2366665454545453E-2</v>
      </c>
      <c r="X199" s="3">
        <f>V199*Table225[[#This Row],[2019]]</f>
        <v>0.17123130909090911</v>
      </c>
      <c r="Y199" s="4">
        <f>V199*Table225[[#This Row],[2018]]</f>
        <v>-8.0937563636363632E-2</v>
      </c>
      <c r="Z199" s="4">
        <f>V199*Table225[[#This Row],[2017]]</f>
        <v>2.0423803636363635E-3</v>
      </c>
      <c r="AA199" s="47">
        <f>V199*Table225[[#This Row],[2016]]</f>
        <v>7.1093272727272727E-2</v>
      </c>
    </row>
    <row r="200" spans="1:27" x14ac:dyDescent="0.35">
      <c r="A200" s="83" t="s">
        <v>165</v>
      </c>
      <c r="B200" s="84" t="s">
        <v>669</v>
      </c>
      <c r="C200" s="84" t="str">
        <f>Table225[[#This Row],[Ticker]]&amp; ( "US EQUITY")</f>
        <v>CHRWUS EQUITY</v>
      </c>
      <c r="D200" s="85">
        <v>0.24007936507936509</v>
      </c>
      <c r="E200" s="85">
        <v>0.75992063492063489</v>
      </c>
      <c r="F200" s="86">
        <f>_xlfn.XLOOKUP(Table225[[#This Row],[Ticker]],'R'!B:B,'R'!D:D,"not found")</f>
        <v>8900000000</v>
      </c>
      <c r="G200" s="87">
        <v>23.015830000000001</v>
      </c>
      <c r="H200" s="88">
        <v>-4.7111270000000003</v>
      </c>
      <c r="I200" s="97">
        <v>-3.6092759999999999</v>
      </c>
      <c r="J200" s="97">
        <v>24.525089999999999</v>
      </c>
      <c r="K200" s="104">
        <v>20.991309999999999</v>
      </c>
      <c r="N200" s="4">
        <f>'R'!E198</f>
        <v>1.0263684432066519E-3</v>
      </c>
      <c r="O200" s="66">
        <f>N200*Table225[[#This Row],[2020]]</f>
        <v>2.3622721606208957E-2</v>
      </c>
      <c r="P200" s="3">
        <f>N200*Table225[[#This Row],[2019]]</f>
        <v>-4.8353520847388247E-3</v>
      </c>
      <c r="Q200" s="4">
        <f>N200*Table225[[#This Row],[2018]]</f>
        <v>-3.7044469892231315E-3</v>
      </c>
      <c r="R200" s="4">
        <f>N200*Table225[[#This Row],[2017]]</f>
        <v>2.5171778442803026E-2</v>
      </c>
      <c r="S200" s="47">
        <f>N200*Table225[[#This Row],[2016]]</f>
        <v>2.1544818165568223E-2</v>
      </c>
      <c r="V200" s="4">
        <f t="shared" si="4"/>
        <v>3.6363636363636364E-3</v>
      </c>
      <c r="W200" s="66">
        <f>V200*Table225[[#This Row],[2020]]</f>
        <v>8.3693927272727273E-2</v>
      </c>
      <c r="X200" s="3">
        <f>V200*Table225[[#This Row],[2019]]</f>
        <v>-1.713137090909091E-2</v>
      </c>
      <c r="Y200" s="4">
        <f>V200*Table225[[#This Row],[2018]]</f>
        <v>-1.312464E-2</v>
      </c>
      <c r="Z200" s="4">
        <f>V200*Table225[[#This Row],[2017]]</f>
        <v>8.9182145454545447E-2</v>
      </c>
      <c r="AA200" s="47">
        <f>V200*Table225[[#This Row],[2016]]</f>
        <v>7.6332036363636363E-2</v>
      </c>
    </row>
    <row r="201" spans="1:27" x14ac:dyDescent="0.35">
      <c r="A201" s="83" t="s">
        <v>15</v>
      </c>
      <c r="B201" s="84" t="s">
        <v>526</v>
      </c>
      <c r="C201" s="84" t="str">
        <f>Table225[[#This Row],[Ticker]]&amp; ( "US EQUITY")</f>
        <v>ROLUS EQUITY</v>
      </c>
      <c r="D201" s="85">
        <v>7.1222444889779565E-2</v>
      </c>
      <c r="E201" s="85">
        <v>0.92877755511022042</v>
      </c>
      <c r="F201" s="86">
        <f>_xlfn.XLOOKUP(Table225[[#This Row],[Ticker]],'R'!B:B,'R'!D:D,"not found")</f>
        <v>5660000000</v>
      </c>
      <c r="G201" s="87">
        <v>78.534000000000006</v>
      </c>
      <c r="H201" s="88">
        <v>-6.9626809999999999</v>
      </c>
      <c r="I201" s="97">
        <v>17.886659999999999</v>
      </c>
      <c r="J201" s="97">
        <v>39.61656</v>
      </c>
      <c r="K201" s="104">
        <v>32.750419999999998</v>
      </c>
      <c r="N201" s="4">
        <f>'R'!E199</f>
        <v>6.5272420096063478E-4</v>
      </c>
      <c r="O201" s="66">
        <f>N201*Table225[[#This Row],[2020]]</f>
        <v>5.1261042398242494E-2</v>
      </c>
      <c r="P201" s="3">
        <f>N201*Table225[[#This Row],[2019]]</f>
        <v>-4.5447103922687934E-3</v>
      </c>
      <c r="Q201" s="4">
        <f>N201*Table225[[#This Row],[2018]]</f>
        <v>1.1675055856354546E-2</v>
      </c>
      <c r="R201" s="4">
        <f>N201*Table225[[#This Row],[2017]]</f>
        <v>2.5858687470809046E-2</v>
      </c>
      <c r="S201" s="47">
        <f>N201*Table225[[#This Row],[2016]]</f>
        <v>2.137699172562519E-2</v>
      </c>
      <c r="V201" s="4">
        <f t="shared" si="4"/>
        <v>3.6363636363636364E-3</v>
      </c>
      <c r="W201" s="66">
        <f>V201*Table225[[#This Row],[2020]]</f>
        <v>0.28557818181818184</v>
      </c>
      <c r="X201" s="3">
        <f>V201*Table225[[#This Row],[2019]]</f>
        <v>-2.5318839999999999E-2</v>
      </c>
      <c r="Y201" s="4">
        <f>V201*Table225[[#This Row],[2018]]</f>
        <v>6.50424E-2</v>
      </c>
      <c r="Z201" s="4">
        <f>V201*Table225[[#This Row],[2017]]</f>
        <v>0.14406021818181819</v>
      </c>
      <c r="AA201" s="47">
        <f>V201*Table225[[#This Row],[2016]]</f>
        <v>0.11909243636363635</v>
      </c>
    </row>
    <row r="202" spans="1:27" x14ac:dyDescent="0.35">
      <c r="A202" s="83" t="s">
        <v>91</v>
      </c>
      <c r="B202" s="84" t="s">
        <v>595</v>
      </c>
      <c r="C202" s="84" t="str">
        <f>Table225[[#This Row],[Ticker]]&amp; ( "US EQUITY")</f>
        <v>ALBUS EQUITY</v>
      </c>
      <c r="D202" s="85">
        <v>0.18478889531521112</v>
      </c>
      <c r="E202" s="85">
        <v>0.81521110468478886</v>
      </c>
      <c r="F202" s="86">
        <f>_xlfn.XLOOKUP(Table225[[#This Row],[Ticker]],'R'!B:B,'R'!D:D,"not found")</f>
        <v>6290000000</v>
      </c>
      <c r="G202" s="87">
        <v>105.5621</v>
      </c>
      <c r="H202" s="88">
        <v>-3.3101739999999999</v>
      </c>
      <c r="I202" s="97">
        <v>-38.885820000000002</v>
      </c>
      <c r="J202" s="97">
        <v>50.204729999999998</v>
      </c>
      <c r="K202" s="104">
        <v>56.213380000000001</v>
      </c>
      <c r="N202" s="4">
        <f>'R'!E200</f>
        <v>7.2537724806402692E-4</v>
      </c>
      <c r="O202" s="66">
        <f>N202*Table225[[#This Row],[2020]]</f>
        <v>7.6572345597859623E-2</v>
      </c>
      <c r="P202" s="3">
        <f>N202*Table225[[#This Row],[2019]]</f>
        <v>-2.4011249067330924E-3</v>
      </c>
      <c r="Q202" s="4">
        <f>N202*Table225[[#This Row],[2018]]</f>
        <v>-2.82068891003131E-2</v>
      </c>
      <c r="R202" s="4">
        <f>N202*Table225[[#This Row],[2017]]</f>
        <v>3.6417368887197495E-2</v>
      </c>
      <c r="S202" s="47">
        <f>N202*Table225[[#This Row],[2016]]</f>
        <v>4.0775906888777413E-2</v>
      </c>
      <c r="V202" s="4">
        <f t="shared" si="4"/>
        <v>3.6363636363636364E-3</v>
      </c>
      <c r="W202" s="66">
        <f>V202*Table225[[#This Row],[2020]]</f>
        <v>0.38386218181818182</v>
      </c>
      <c r="X202" s="3">
        <f>V202*Table225[[#This Row],[2019]]</f>
        <v>-1.2036996363636364E-2</v>
      </c>
      <c r="Y202" s="4">
        <f>V202*Table225[[#This Row],[2018]]</f>
        <v>-0.14140298181818184</v>
      </c>
      <c r="Z202" s="4">
        <f>V202*Table225[[#This Row],[2017]]</f>
        <v>0.18256265454545453</v>
      </c>
      <c r="AA202" s="47">
        <f>V202*Table225[[#This Row],[2016]]</f>
        <v>0.20441229090909091</v>
      </c>
    </row>
    <row r="203" spans="1:27" x14ac:dyDescent="0.35">
      <c r="A203" s="83" t="s">
        <v>375</v>
      </c>
      <c r="B203" s="84" t="s">
        <v>871</v>
      </c>
      <c r="C203" s="84" t="str">
        <f>Table225[[#This Row],[Ticker]]&amp; ( "US EQUITY")</f>
        <v>OKEUS EQUITY</v>
      </c>
      <c r="D203" s="85">
        <v>6.1020287571400433E-2</v>
      </c>
      <c r="E203" s="85">
        <v>0.93897971242859957</v>
      </c>
      <c r="F203" s="86">
        <f>_xlfn.XLOOKUP(Table225[[#This Row],[Ticker]],'R'!B:B,'R'!D:D,"not found")</f>
        <v>5170000000</v>
      </c>
      <c r="G203" s="87">
        <v>-43.362609999999997</v>
      </c>
      <c r="H203" s="88">
        <v>47.774529999999999</v>
      </c>
      <c r="I203" s="97">
        <v>6.2843200000000001</v>
      </c>
      <c r="J203" s="97">
        <v>-2.0793140000000001</v>
      </c>
      <c r="K203" s="104">
        <v>149.36590000000001</v>
      </c>
      <c r="N203" s="4">
        <f>'R'!E201</f>
        <v>5.9621627543577412E-4</v>
      </c>
      <c r="O203" s="66">
        <f>N203*Table225[[#This Row],[2020]]</f>
        <v>-2.5853493827374053E-2</v>
      </c>
      <c r="P203" s="3">
        <f>N203*Table225[[#This Row],[2019]]</f>
        <v>2.8483952337294654E-2</v>
      </c>
      <c r="Q203" s="4">
        <f>N203*Table225[[#This Row],[2018]]</f>
        <v>3.7468138640465443E-3</v>
      </c>
      <c r="R203" s="4">
        <f>N203*Table225[[#This Row],[2017]]</f>
        <v>-1.2397208485414612E-3</v>
      </c>
      <c r="S203" s="47">
        <f>N203*Table225[[#This Row],[2016]]</f>
        <v>8.9054380575112294E-2</v>
      </c>
      <c r="V203" s="4">
        <f t="shared" si="4"/>
        <v>3.6363636363636364E-3</v>
      </c>
      <c r="W203" s="66">
        <f>V203*Table225[[#This Row],[2020]]</f>
        <v>-0.15768221818181816</v>
      </c>
      <c r="X203" s="3">
        <f>V203*Table225[[#This Row],[2019]]</f>
        <v>0.17372556363636363</v>
      </c>
      <c r="Y203" s="4">
        <f>V203*Table225[[#This Row],[2018]]</f>
        <v>2.2852072727272729E-2</v>
      </c>
      <c r="Z203" s="4">
        <f>V203*Table225[[#This Row],[2017]]</f>
        <v>-7.5611418181818187E-3</v>
      </c>
      <c r="AA203" s="47">
        <f>V203*Table225[[#This Row],[2016]]</f>
        <v>0.54314872727272734</v>
      </c>
    </row>
    <row r="204" spans="1:27" x14ac:dyDescent="0.35">
      <c r="A204" s="83" t="s">
        <v>202</v>
      </c>
      <c r="B204" s="84" t="s">
        <v>704</v>
      </c>
      <c r="C204" s="84" t="str">
        <f>Table225[[#This Row],[Ticker]]&amp; ( "US EQUITY")</f>
        <v>DVNUS EQUITY</v>
      </c>
      <c r="D204" s="85">
        <v>5.6044525982520922E-3</v>
      </c>
      <c r="E204" s="85">
        <v>0.99439554740174796</v>
      </c>
      <c r="F204" s="86">
        <f>_xlfn.XLOOKUP(Table225[[#This Row],[Ticker]],'R'!B:B,'R'!D:D,"not found")</f>
        <v>13380000000</v>
      </c>
      <c r="G204" s="87">
        <v>-35.267829999999996</v>
      </c>
      <c r="H204" s="88">
        <v>16.789249999999999</v>
      </c>
      <c r="I204" s="97">
        <v>-45.080820000000003</v>
      </c>
      <c r="J204" s="97">
        <v>-8.7494320000000005</v>
      </c>
      <c r="K204" s="104">
        <v>44.733139999999999</v>
      </c>
      <c r="N204" s="4">
        <f>'R'!E202</f>
        <v>1.5430123337196631E-3</v>
      </c>
      <c r="O204" s="66">
        <f>N204*Table225[[#This Row],[2020]]</f>
        <v>-5.441869667352834E-2</v>
      </c>
      <c r="P204" s="3">
        <f>N204*Table225[[#This Row],[2019]]</f>
        <v>2.5906019823902851E-2</v>
      </c>
      <c r="Q204" s="4">
        <f>N204*Table225[[#This Row],[2018]]</f>
        <v>-6.9560261274196067E-2</v>
      </c>
      <c r="R204" s="4">
        <f>N204*Table225[[#This Row],[2017]]</f>
        <v>-1.35004814890415E-2</v>
      </c>
      <c r="S204" s="47">
        <f>N204*Table225[[#This Row],[2016]]</f>
        <v>6.9023786746008411E-2</v>
      </c>
      <c r="V204" s="4">
        <f t="shared" si="4"/>
        <v>3.6363636363636364E-3</v>
      </c>
      <c r="W204" s="66">
        <f>V204*Table225[[#This Row],[2020]]</f>
        <v>-0.12824665454545453</v>
      </c>
      <c r="X204" s="3">
        <f>V204*Table225[[#This Row],[2019]]</f>
        <v>6.1051818181818179E-2</v>
      </c>
      <c r="Y204" s="4">
        <f>V204*Table225[[#This Row],[2018]]</f>
        <v>-0.16393025454545457</v>
      </c>
      <c r="Z204" s="4">
        <f>V204*Table225[[#This Row],[2017]]</f>
        <v>-3.1816116363636363E-2</v>
      </c>
      <c r="AA204" s="47">
        <f>V204*Table225[[#This Row],[2016]]</f>
        <v>0.16266596363636363</v>
      </c>
    </row>
    <row r="205" spans="1:27" x14ac:dyDescent="0.35">
      <c r="A205" s="83" t="s">
        <v>446</v>
      </c>
      <c r="B205" s="84" t="s">
        <v>937</v>
      </c>
      <c r="C205" s="84" t="str">
        <f>Table225[[#This Row],[Ticker]]&amp; ( "US EQUITY")</f>
        <v>TDYUS EQUITY</v>
      </c>
      <c r="D205" s="85">
        <v>0.18271999999999999</v>
      </c>
      <c r="E205" s="85">
        <v>0.81728000000000001</v>
      </c>
      <c r="F205" s="86">
        <f>_xlfn.XLOOKUP(Table225[[#This Row],[Ticker]],'R'!B:B,'R'!D:D,"not found")</f>
        <v>3140000000</v>
      </c>
      <c r="G205" s="87">
        <v>13.112489999999999</v>
      </c>
      <c r="H205" s="88">
        <v>67.354029999999995</v>
      </c>
      <c r="I205" s="97">
        <v>14.308579999999999</v>
      </c>
      <c r="J205" s="97">
        <v>47.27646</v>
      </c>
      <c r="K205" s="104">
        <v>38.66968</v>
      </c>
      <c r="N205" s="4">
        <f>'R'!E203</f>
        <v>3.6211201254706592E-4</v>
      </c>
      <c r="O205" s="66">
        <f>N205*Table225[[#This Row],[2020]]</f>
        <v>4.7481901434032765E-3</v>
      </c>
      <c r="P205" s="3">
        <f>N205*Table225[[#This Row],[2019]]</f>
        <v>2.4389703356455451E-2</v>
      </c>
      <c r="Q205" s="4">
        <f>N205*Table225[[#This Row],[2018]]</f>
        <v>5.1813087004906958E-3</v>
      </c>
      <c r="R205" s="4">
        <f>N205*Table225[[#This Row],[2017]]</f>
        <v>1.7119374076700861E-2</v>
      </c>
      <c r="S205" s="47">
        <f>N205*Table225[[#This Row],[2016]]</f>
        <v>1.4002755649351023E-2</v>
      </c>
      <c r="V205" s="4">
        <f t="shared" si="4"/>
        <v>3.6363636363636364E-3</v>
      </c>
      <c r="W205" s="66">
        <f>V205*Table225[[#This Row],[2020]]</f>
        <v>4.7681781818181813E-2</v>
      </c>
      <c r="X205" s="3">
        <f>V205*Table225[[#This Row],[2019]]</f>
        <v>0.24492374545454543</v>
      </c>
      <c r="Y205" s="4">
        <f>V205*Table225[[#This Row],[2018]]</f>
        <v>5.20312E-2</v>
      </c>
      <c r="Z205" s="4">
        <f>V205*Table225[[#This Row],[2017]]</f>
        <v>0.17191439999999999</v>
      </c>
      <c r="AA205" s="47">
        <f>V205*Table225[[#This Row],[2016]]</f>
        <v>0.14061701818181818</v>
      </c>
    </row>
    <row r="206" spans="1:27" x14ac:dyDescent="0.35">
      <c r="A206" s="83" t="s">
        <v>11</v>
      </c>
      <c r="B206" s="84" t="s">
        <v>523</v>
      </c>
      <c r="C206" s="84" t="str">
        <f>Table225[[#This Row],[Ticker]]&amp; ( "US EQUITY")</f>
        <v>TSCOUS EQUITY</v>
      </c>
      <c r="D206" s="85">
        <v>0.16792330036984715</v>
      </c>
      <c r="E206" s="85">
        <v>0.83207669963015285</v>
      </c>
      <c r="F206" s="86">
        <f>_xlfn.XLOOKUP(Table225[[#This Row],[Ticker]],'R'!B:B,'R'!D:D,"not found")</f>
        <v>11480000000</v>
      </c>
      <c r="G206" s="87">
        <v>52.313189999999999</v>
      </c>
      <c r="H206" s="88">
        <v>13.5496</v>
      </c>
      <c r="I206" s="97">
        <v>13.34282</v>
      </c>
      <c r="J206" s="97">
        <v>0.30263659999999998</v>
      </c>
      <c r="K206" s="104">
        <v>-10.327439999999999</v>
      </c>
      <c r="N206" s="4">
        <f>'R'!E204</f>
        <v>1.3238999694395912E-3</v>
      </c>
      <c r="O206" s="66">
        <f>N206*Table225[[#This Row],[2020]]</f>
        <v>6.9257430642287524E-2</v>
      </c>
      <c r="P206" s="3">
        <f>N206*Table225[[#This Row],[2019]]</f>
        <v>1.7938315025918684E-2</v>
      </c>
      <c r="Q206" s="4">
        <f>N206*Table225[[#This Row],[2018]]</f>
        <v>1.7664558990237965E-2</v>
      </c>
      <c r="R206" s="4">
        <f>N206*Table225[[#This Row],[2017]]</f>
        <v>4.0066058549130177E-4</v>
      </c>
      <c r="S206" s="47">
        <f>N206*Table225[[#This Row],[2016]]</f>
        <v>-1.3672497500389211E-2</v>
      </c>
      <c r="V206" s="4">
        <f t="shared" si="4"/>
        <v>3.6363636363636364E-3</v>
      </c>
      <c r="W206" s="66">
        <f>V206*Table225[[#This Row],[2020]]</f>
        <v>0.19022978181818181</v>
      </c>
      <c r="X206" s="3">
        <f>V206*Table225[[#This Row],[2019]]</f>
        <v>4.9271272727272726E-2</v>
      </c>
      <c r="Y206" s="4">
        <f>V206*Table225[[#This Row],[2018]]</f>
        <v>4.8519345454545455E-2</v>
      </c>
      <c r="Z206" s="4">
        <f>V206*Table225[[#This Row],[2017]]</f>
        <v>1.1004967272727271E-3</v>
      </c>
      <c r="AA206" s="47">
        <f>V206*Table225[[#This Row],[2016]]</f>
        <v>-3.755432727272727E-2</v>
      </c>
    </row>
    <row r="207" spans="1:27" x14ac:dyDescent="0.35">
      <c r="A207" s="83" t="s">
        <v>209</v>
      </c>
      <c r="B207" s="84" t="s">
        <v>711</v>
      </c>
      <c r="C207" s="84" t="str">
        <f>Table225[[#This Row],[Ticker]]&amp; ( "US EQUITY")</f>
        <v>DLTRUS EQUITY</v>
      </c>
      <c r="D207" s="85">
        <v>0.17552925487581264</v>
      </c>
      <c r="E207" s="85">
        <v>0.82447074512418739</v>
      </c>
      <c r="F207" s="86">
        <f>_xlfn.XLOOKUP(Table225[[#This Row],[Ticker]],'R'!B:B,'R'!D:D,"not found")</f>
        <v>18130000000</v>
      </c>
      <c r="G207" s="87">
        <v>14.875069999999999</v>
      </c>
      <c r="H207" s="88">
        <v>4.1297550000000003</v>
      </c>
      <c r="I207" s="97">
        <v>-15.83263</v>
      </c>
      <c r="J207" s="97">
        <v>39.038600000000002</v>
      </c>
      <c r="K207" s="104">
        <v>-5.1796439999999999E-2</v>
      </c>
      <c r="N207" s="4">
        <f>'R'!E205</f>
        <v>2.0907932444198425E-3</v>
      </c>
      <c r="O207" s="66">
        <f>N207*Table225[[#This Row],[2020]]</f>
        <v>3.1100695866272263E-2</v>
      </c>
      <c r="P207" s="3">
        <f>N207*Table225[[#This Row],[2019]]</f>
        <v>8.6344638551090671E-3</v>
      </c>
      <c r="Q207" s="4">
        <f>N207*Table225[[#This Row],[2018]]</f>
        <v>-3.3102755845398929E-2</v>
      </c>
      <c r="R207" s="4">
        <f>N207*Table225[[#This Row],[2017]]</f>
        <v>8.1621641151608471E-2</v>
      </c>
      <c r="S207" s="47">
        <f>N207*Table225[[#This Row],[2016]]</f>
        <v>-1.0829564683699771E-4</v>
      </c>
      <c r="V207" s="4">
        <f t="shared" si="4"/>
        <v>3.6363636363636364E-3</v>
      </c>
      <c r="W207" s="66">
        <f>V207*Table225[[#This Row],[2020]]</f>
        <v>5.4091163636363633E-2</v>
      </c>
      <c r="X207" s="3">
        <f>V207*Table225[[#This Row],[2019]]</f>
        <v>1.5017290909090909E-2</v>
      </c>
      <c r="Y207" s="4">
        <f>V207*Table225[[#This Row],[2018]]</f>
        <v>-5.7573199999999998E-2</v>
      </c>
      <c r="Z207" s="4">
        <f>V207*Table225[[#This Row],[2017]]</f>
        <v>0.14195854545454548</v>
      </c>
      <c r="AA207" s="47">
        <f>V207*Table225[[#This Row],[2016]]</f>
        <v>-1.883506909090909E-4</v>
      </c>
    </row>
    <row r="208" spans="1:27" x14ac:dyDescent="0.35">
      <c r="A208" s="83" t="s">
        <v>204</v>
      </c>
      <c r="B208" s="84" t="s">
        <v>706</v>
      </c>
      <c r="C208" s="84" t="str">
        <f>Table225[[#This Row],[Ticker]]&amp; ( "US EQUITY")</f>
        <v>FANGUS EQUITY</v>
      </c>
      <c r="D208" s="85">
        <v>8.387875706932707E-2</v>
      </c>
      <c r="E208" s="85">
        <v>0.91612124293067299</v>
      </c>
      <c r="F208" s="86">
        <f>_xlfn.XLOOKUP(Table225[[#This Row],[Ticker]],'R'!B:B,'R'!D:D,"not found")</f>
        <v>4470000000</v>
      </c>
      <c r="G208" s="87">
        <v>-46.004300000000001</v>
      </c>
      <c r="H208" s="88">
        <v>0.91489549999999997</v>
      </c>
      <c r="I208" s="97">
        <v>-26.349170000000001</v>
      </c>
      <c r="J208" s="97">
        <v>24.925789999999999</v>
      </c>
      <c r="K208" s="104">
        <v>51.061250000000001</v>
      </c>
      <c r="N208" s="4">
        <f>'R'!E206</f>
        <v>5.1549066754311612E-4</v>
      </c>
      <c r="O208" s="66">
        <f>N208*Table225[[#This Row],[2020]]</f>
        <v>-2.3714787316853777E-2</v>
      </c>
      <c r="P208" s="3">
        <f>N208*Table225[[#This Row],[2019]]</f>
        <v>4.7162009202719296E-4</v>
      </c>
      <c r="Q208" s="4">
        <f>N208*Table225[[#This Row],[2018]]</f>
        <v>-1.3582751232507049E-2</v>
      </c>
      <c r="R208" s="4">
        <f>N208*Table225[[#This Row],[2017]]</f>
        <v>1.2849012126139528E-2</v>
      </c>
      <c r="S208" s="47">
        <f>N208*Table225[[#This Row],[2016]]</f>
        <v>2.6321597848085937E-2</v>
      </c>
      <c r="V208" s="4">
        <f t="shared" si="4"/>
        <v>3.6363636363636364E-3</v>
      </c>
      <c r="W208" s="66">
        <f>V208*Table225[[#This Row],[2020]]</f>
        <v>-0.16728836363636365</v>
      </c>
      <c r="X208" s="3">
        <f>V208*Table225[[#This Row],[2019]]</f>
        <v>3.326892727272727E-3</v>
      </c>
      <c r="Y208" s="4">
        <f>V208*Table225[[#This Row],[2018]]</f>
        <v>-9.5815163636363637E-2</v>
      </c>
      <c r="Z208" s="4">
        <f>V208*Table225[[#This Row],[2017]]</f>
        <v>9.0639236363636355E-2</v>
      </c>
      <c r="AA208" s="47">
        <f>V208*Table225[[#This Row],[2016]]</f>
        <v>0.18567727272727272</v>
      </c>
    </row>
    <row r="209" spans="1:27" x14ac:dyDescent="0.35">
      <c r="A209" s="83" t="s">
        <v>189</v>
      </c>
      <c r="B209" s="84" t="s">
        <v>691</v>
      </c>
      <c r="C209" s="84" t="str">
        <f>Table225[[#This Row],[Ticker]]&amp; ( "US EQUITY")</f>
        <v>CPRTUS EQUITY</v>
      </c>
      <c r="D209" s="85">
        <v>2.8724894908921067E-3</v>
      </c>
      <c r="E209" s="85">
        <v>0.99712751050910786</v>
      </c>
      <c r="F209" s="86">
        <f>_xlfn.XLOOKUP(Table225[[#This Row],[Ticker]],'R'!B:B,'R'!D:D,"not found")</f>
        <v>4570000000</v>
      </c>
      <c r="G209" s="87">
        <v>39.927419999999998</v>
      </c>
      <c r="H209" s="88">
        <v>90.330699999999993</v>
      </c>
      <c r="I209" s="97">
        <v>10.627459999999999</v>
      </c>
      <c r="J209" s="97">
        <v>55.89246</v>
      </c>
      <c r="K209" s="104">
        <v>45.777439999999999</v>
      </c>
      <c r="N209" s="4">
        <f>'R'!E207</f>
        <v>5.2702289724206725E-4</v>
      </c>
      <c r="O209" s="66">
        <f>N209*Table225[[#This Row],[2020]]</f>
        <v>2.1042664567800861E-2</v>
      </c>
      <c r="P209" s="3">
        <f>N209*Table225[[#This Row],[2019]]</f>
        <v>4.7606347223904E-2</v>
      </c>
      <c r="Q209" s="4">
        <f>N209*Table225[[#This Row],[2018]]</f>
        <v>5.6009147595241799E-3</v>
      </c>
      <c r="R209" s="4">
        <f>N209*Table225[[#This Row],[2017]]</f>
        <v>2.9456606203186353E-2</v>
      </c>
      <c r="S209" s="47">
        <f>N209*Table225[[#This Row],[2016]]</f>
        <v>2.4125759057124899E-2</v>
      </c>
      <c r="V209" s="4">
        <f t="shared" si="4"/>
        <v>3.6363636363636364E-3</v>
      </c>
      <c r="W209" s="66">
        <f>V209*Table225[[#This Row],[2020]]</f>
        <v>0.14519061818181817</v>
      </c>
      <c r="X209" s="3">
        <f>V209*Table225[[#This Row],[2019]]</f>
        <v>0.32847527272727273</v>
      </c>
      <c r="Y209" s="4">
        <f>V209*Table225[[#This Row],[2018]]</f>
        <v>3.8645309090909089E-2</v>
      </c>
      <c r="Z209" s="4">
        <f>V209*Table225[[#This Row],[2017]]</f>
        <v>0.2032453090909091</v>
      </c>
      <c r="AA209" s="47">
        <f>V209*Table225[[#This Row],[2016]]</f>
        <v>0.16646341818181817</v>
      </c>
    </row>
    <row r="210" spans="1:27" x14ac:dyDescent="0.35">
      <c r="A210" s="83" t="s">
        <v>146</v>
      </c>
      <c r="B210" s="84" t="s">
        <v>650</v>
      </c>
      <c r="C210" s="84" t="str">
        <f>Table225[[#This Row],[Ticker]]&amp; ( "US EQUITY")</f>
        <v>COGUS EQUITY</v>
      </c>
      <c r="D210" s="85">
        <v>1.4127707035969885E-2</v>
      </c>
      <c r="E210" s="85">
        <v>0.98587229296403012</v>
      </c>
      <c r="F210" s="86">
        <f>_xlfn.XLOOKUP(Table225[[#This Row],[Ticker]],'R'!B:B,'R'!D:D,"not found")</f>
        <v>7320000000</v>
      </c>
      <c r="G210" s="87">
        <v>-4.3441890000000001</v>
      </c>
      <c r="H210" s="88">
        <v>-20.778040000000001</v>
      </c>
      <c r="I210" s="97">
        <v>-21.070319999999999</v>
      </c>
      <c r="J210" s="97">
        <v>23.261489999999998</v>
      </c>
      <c r="K210" s="104">
        <v>32.53125</v>
      </c>
      <c r="N210" s="4">
        <f>'R'!E208</f>
        <v>8.4415921396322369E-4</v>
      </c>
      <c r="O210" s="66">
        <f>N210*Table225[[#This Row],[2020]]</f>
        <v>-3.6671871715476829E-3</v>
      </c>
      <c r="P210" s="3">
        <f>N210*Table225[[#This Row],[2019]]</f>
        <v>-1.753997391409642E-2</v>
      </c>
      <c r="Q210" s="4">
        <f>N210*Table225[[#This Row],[2018]]</f>
        <v>-1.7786704769153592E-2</v>
      </c>
      <c r="R210" s="4">
        <f>N210*Table225[[#This Row],[2017]]</f>
        <v>1.9636401114013387E-2</v>
      </c>
      <c r="S210" s="47">
        <f>N210*Table225[[#This Row],[2016]]</f>
        <v>2.7461554429241121E-2</v>
      </c>
      <c r="V210" s="4">
        <f t="shared" si="4"/>
        <v>3.6363636363636364E-3</v>
      </c>
      <c r="W210" s="66">
        <f>V210*Table225[[#This Row],[2020]]</f>
        <v>-1.579705090909091E-2</v>
      </c>
      <c r="X210" s="3">
        <f>V210*Table225[[#This Row],[2019]]</f>
        <v>-7.5556509090909094E-2</v>
      </c>
      <c r="Y210" s="4">
        <f>V210*Table225[[#This Row],[2018]]</f>
        <v>-7.6619345454545448E-2</v>
      </c>
      <c r="Z210" s="4">
        <f>V210*Table225[[#This Row],[2017]]</f>
        <v>8.4587236363636353E-2</v>
      </c>
      <c r="AA210" s="47">
        <f>V210*Table225[[#This Row],[2016]]</f>
        <v>0.11829545454545455</v>
      </c>
    </row>
    <row r="211" spans="1:27" x14ac:dyDescent="0.35">
      <c r="A211" s="83" t="s">
        <v>333</v>
      </c>
      <c r="B211" s="84" t="s">
        <v>830</v>
      </c>
      <c r="C211" s="84" t="str">
        <f>Table225[[#This Row],[Ticker]]&amp; ( "US EQUITY")</f>
        <v>MKTXUS EQUITY</v>
      </c>
      <c r="D211" s="85">
        <v>0.16666666666666666</v>
      </c>
      <c r="E211" s="85">
        <v>0.83333333333333337</v>
      </c>
      <c r="F211" s="86">
        <f>_xlfn.XLOOKUP(Table225[[#This Row],[Ticker]],'R'!B:B,'R'!D:D,"not found")</f>
        <v>4170000000</v>
      </c>
      <c r="G211" s="87">
        <v>51.292990000000003</v>
      </c>
      <c r="H211" s="88">
        <v>80.677080000000004</v>
      </c>
      <c r="I211" s="97">
        <v>5.633807</v>
      </c>
      <c r="J211" s="97">
        <v>38.288530000000002</v>
      </c>
      <c r="K211" s="104">
        <v>32.688389999999998</v>
      </c>
      <c r="N211" s="4">
        <f>'R'!E209</f>
        <v>4.8089397844626268E-4</v>
      </c>
      <c r="O211" s="66">
        <f>N211*Table225[[#This Row],[2020]]</f>
        <v>2.466649002750437E-2</v>
      </c>
      <c r="P211" s="3">
        <f>N211*Table225[[#This Row],[2019]]</f>
        <v>3.8797121970627409E-2</v>
      </c>
      <c r="Q211" s="4">
        <f>N211*Table225[[#This Row],[2018]]</f>
        <v>2.7092638620284039E-3</v>
      </c>
      <c r="R211" s="4">
        <f>N211*Table225[[#This Row],[2017]]</f>
        <v>1.8412723520559084E-2</v>
      </c>
      <c r="S211" s="47">
        <f>N211*Table225[[#This Row],[2016]]</f>
        <v>1.5719649916103029E-2</v>
      </c>
      <c r="V211" s="4">
        <f t="shared" si="4"/>
        <v>3.6363636363636364E-3</v>
      </c>
      <c r="W211" s="66">
        <f>V211*Table225[[#This Row],[2020]]</f>
        <v>0.18651996363636364</v>
      </c>
      <c r="X211" s="3">
        <f>V211*Table225[[#This Row],[2019]]</f>
        <v>0.2933712</v>
      </c>
      <c r="Y211" s="4">
        <f>V211*Table225[[#This Row],[2018]]</f>
        <v>2.0486570909090909E-2</v>
      </c>
      <c r="Z211" s="4">
        <f>V211*Table225[[#This Row],[2017]]</f>
        <v>0.13923101818181818</v>
      </c>
      <c r="AA211" s="47">
        <f>V211*Table225[[#This Row],[2016]]</f>
        <v>0.11886687272727273</v>
      </c>
    </row>
    <row r="212" spans="1:27" x14ac:dyDescent="0.35">
      <c r="A212" s="83" t="s">
        <v>347</v>
      </c>
      <c r="B212" s="84" t="s">
        <v>844</v>
      </c>
      <c r="C212" s="84" t="str">
        <f>Table225[[#This Row],[Ticker]]&amp; ( "US EQUITY")</f>
        <v>MAAUS EQUITY</v>
      </c>
      <c r="D212" s="85">
        <v>0</v>
      </c>
      <c r="E212" s="85">
        <v>1</v>
      </c>
      <c r="F212" s="86">
        <f>_xlfn.XLOOKUP(Table225[[#This Row],[Ticker]],'R'!B:B,'R'!D:D,"not found")</f>
        <v>6850000000</v>
      </c>
      <c r="G212" s="87">
        <v>-0.67551139999999998</v>
      </c>
      <c r="H212" s="88">
        <v>42.514879999999998</v>
      </c>
      <c r="I212" s="97">
        <v>-1.0446789999999999</v>
      </c>
      <c r="J212" s="97">
        <v>6.2683109999999997</v>
      </c>
      <c r="K212" s="104">
        <v>11.593500000000001</v>
      </c>
      <c r="N212" s="4">
        <f>'R'!E210</f>
        <v>7.8995773437815333E-4</v>
      </c>
      <c r="O212" s="66">
        <f>N212*Table225[[#This Row],[2020]]</f>
        <v>-5.3362545509061442E-4</v>
      </c>
      <c r="P212" s="3">
        <f>N212*Table225[[#This Row],[2019]]</f>
        <v>3.3584958282159065E-2</v>
      </c>
      <c r="Q212" s="4">
        <f>N212*Table225[[#This Row],[2018]]</f>
        <v>-8.2525225599243478E-4</v>
      </c>
      <c r="R212" s="4">
        <f>N212*Table225[[#This Row],[2017]]</f>
        <v>4.9517007559376561E-3</v>
      </c>
      <c r="S212" s="47">
        <f>N212*Table225[[#This Row],[2016]]</f>
        <v>9.1583749935131211E-3</v>
      </c>
      <c r="V212" s="4">
        <f t="shared" si="4"/>
        <v>3.6363636363636364E-3</v>
      </c>
      <c r="W212" s="66">
        <f>V212*Table225[[#This Row],[2020]]</f>
        <v>-2.4564050909090911E-3</v>
      </c>
      <c r="X212" s="3">
        <f>V212*Table225[[#This Row],[2019]]</f>
        <v>0.15459956363636362</v>
      </c>
      <c r="Y212" s="4">
        <f>V212*Table225[[#This Row],[2018]]</f>
        <v>-3.7988327272727271E-3</v>
      </c>
      <c r="Z212" s="4">
        <f>V212*Table225[[#This Row],[2017]]</f>
        <v>2.2793858181818182E-2</v>
      </c>
      <c r="AA212" s="47">
        <f>V212*Table225[[#This Row],[2016]]</f>
        <v>4.2158181818181817E-2</v>
      </c>
    </row>
    <row r="213" spans="1:27" x14ac:dyDescent="0.35">
      <c r="A213" s="83" t="s">
        <v>415</v>
      </c>
      <c r="B213" s="84" t="s">
        <v>910</v>
      </c>
      <c r="C213" s="84" t="str">
        <f>Table225[[#This Row],[Ticker]]&amp; ( "US EQUITY")</f>
        <v>ROPUS EQUITY</v>
      </c>
      <c r="D213" s="85">
        <v>0</v>
      </c>
      <c r="E213" s="85">
        <v>1</v>
      </c>
      <c r="F213" s="86">
        <f>_xlfn.XLOOKUP(Table225[[#This Row],[Ticker]],'R'!B:B,'R'!D:D,"not found")</f>
        <v>19140000000</v>
      </c>
      <c r="G213" s="87">
        <v>22.387779999999999</v>
      </c>
      <c r="H213" s="88">
        <v>33.66142</v>
      </c>
      <c r="I213" s="97">
        <v>3.5188079999999999</v>
      </c>
      <c r="J213" s="97">
        <v>42.384509999999999</v>
      </c>
      <c r="K213" s="104">
        <v>-2.8819919999999999</v>
      </c>
      <c r="N213" s="4">
        <f>'R'!E211</f>
        <v>2.2072687643792488E-3</v>
      </c>
      <c r="O213" s="66">
        <f>N213*Table225[[#This Row],[2020]]</f>
        <v>4.9415847497794457E-2</v>
      </c>
      <c r="P213" s="3">
        <f>N213*Table225[[#This Row],[2019]]</f>
        <v>7.429980093065093E-2</v>
      </c>
      <c r="Q213" s="4">
        <f>N213*Table225[[#This Row],[2018]]</f>
        <v>7.7669549862478156E-3</v>
      </c>
      <c r="R213" s="4">
        <f>N213*Table225[[#This Row],[2017]]</f>
        <v>9.3554005016519906E-2</v>
      </c>
      <c r="S213" s="47">
        <f>N213*Table225[[#This Row],[2016]]</f>
        <v>-6.3613309207908794E-3</v>
      </c>
      <c r="V213" s="4">
        <f t="shared" si="4"/>
        <v>3.6363636363636364E-3</v>
      </c>
      <c r="W213" s="66">
        <f>V213*Table225[[#This Row],[2020]]</f>
        <v>8.1410109090909094E-2</v>
      </c>
      <c r="X213" s="3">
        <f>V213*Table225[[#This Row],[2019]]</f>
        <v>0.12240516363636364</v>
      </c>
      <c r="Y213" s="4">
        <f>V213*Table225[[#This Row],[2018]]</f>
        <v>1.2795665454545455E-2</v>
      </c>
      <c r="Z213" s="4">
        <f>V213*Table225[[#This Row],[2017]]</f>
        <v>0.15412549090909092</v>
      </c>
      <c r="AA213" s="47">
        <f>V213*Table225[[#This Row],[2016]]</f>
        <v>-1.0479970909090908E-2</v>
      </c>
    </row>
    <row r="214" spans="1:27" x14ac:dyDescent="0.35">
      <c r="A214" s="83" t="s">
        <v>427</v>
      </c>
      <c r="B214" s="84" t="s">
        <v>922</v>
      </c>
      <c r="C214" s="84" t="str">
        <f>Table225[[#This Row],[Ticker]]&amp; ( "US EQUITY")</f>
        <v>SWKSUS EQUITY</v>
      </c>
      <c r="D214" s="85">
        <v>0</v>
      </c>
      <c r="E214" s="85">
        <v>1</v>
      </c>
      <c r="F214" s="86">
        <f>_xlfn.XLOOKUP(Table225[[#This Row],[Ticker]],'R'!B:B,'R'!D:D,"not found")</f>
        <v>14690000000</v>
      </c>
      <c r="G214" s="87">
        <v>28.335629999999998</v>
      </c>
      <c r="H214" s="88">
        <v>84.115359999999995</v>
      </c>
      <c r="I214" s="97">
        <v>-28.30743</v>
      </c>
      <c r="J214" s="97">
        <v>28.686209999999999</v>
      </c>
      <c r="K214" s="104">
        <v>-1.2103619999999999</v>
      </c>
      <c r="N214" s="4">
        <f>'R'!E212</f>
        <v>1.6940845427759229E-3</v>
      </c>
      <c r="O214" s="66">
        <f>N214*Table225[[#This Row],[2020]]</f>
        <v>4.8002952792817723E-2</v>
      </c>
      <c r="P214" s="3">
        <f>N214*Table225[[#This Row],[2019]]</f>
        <v>0.14249853118603215</v>
      </c>
      <c r="Q214" s="4">
        <f>N214*Table225[[#This Row],[2018]]</f>
        <v>-4.7955179608711443E-2</v>
      </c>
      <c r="R214" s="4">
        <f>N214*Table225[[#This Row],[2017]]</f>
        <v>4.8596864951824109E-2</v>
      </c>
      <c r="S214" s="47">
        <f>N214*Table225[[#This Row],[2016]]</f>
        <v>-2.0504555553633517E-3</v>
      </c>
      <c r="V214" s="4">
        <f t="shared" si="4"/>
        <v>3.6363636363636364E-3</v>
      </c>
      <c r="W214" s="66">
        <f>V214*Table225[[#This Row],[2020]]</f>
        <v>0.10303865454545454</v>
      </c>
      <c r="X214" s="3">
        <f>V214*Table225[[#This Row],[2019]]</f>
        <v>0.30587403636363636</v>
      </c>
      <c r="Y214" s="4">
        <f>V214*Table225[[#This Row],[2018]]</f>
        <v>-0.1029361090909091</v>
      </c>
      <c r="Z214" s="4">
        <f>V214*Table225[[#This Row],[2017]]</f>
        <v>0.10431349090909091</v>
      </c>
      <c r="AA214" s="47">
        <f>V214*Table225[[#This Row],[2016]]</f>
        <v>-4.4013163636363638E-3</v>
      </c>
    </row>
    <row r="215" spans="1:27" x14ac:dyDescent="0.35">
      <c r="A215" s="83" t="s">
        <v>497</v>
      </c>
      <c r="B215" s="84" t="s">
        <v>981</v>
      </c>
      <c r="C215" s="84" t="str">
        <f>Table225[[#This Row],[Ticker]]&amp; ( "US EQUITY")</f>
        <v>WSTUS EQUITY</v>
      </c>
      <c r="D215" s="85">
        <v>0</v>
      </c>
      <c r="E215" s="85">
        <v>1</v>
      </c>
      <c r="F215" s="86">
        <f>_xlfn.XLOOKUP(Table225[[#This Row],[Ticker]],'R'!B:B,'R'!D:D,"not found")</f>
        <v>4350000000</v>
      </c>
      <c r="G215" s="87">
        <v>89.059139999999999</v>
      </c>
      <c r="H215" s="88">
        <v>54.13805</v>
      </c>
      <c r="I215" s="97">
        <v>-8.3327289999999998E-2</v>
      </c>
      <c r="J215" s="97">
        <v>17.019929999999999</v>
      </c>
      <c r="K215" s="104">
        <v>41.876719999999999</v>
      </c>
      <c r="N215" s="4">
        <f>'R'!E213</f>
        <v>5.016519919043747E-4</v>
      </c>
      <c r="O215" s="66">
        <f>N215*Table225[[#This Row],[2020]]</f>
        <v>4.467669497829057E-2</v>
      </c>
      <c r="P215" s="3">
        <f>N215*Table225[[#This Row],[2019]]</f>
        <v>2.7158460620318632E-2</v>
      </c>
      <c r="Q215" s="4">
        <f>N215*Table225[[#This Row],[2018]]</f>
        <v>-4.1801301008493482E-5</v>
      </c>
      <c r="R215" s="4">
        <f>N215*Table225[[#This Row],[2017]]</f>
        <v>8.5380817865730232E-3</v>
      </c>
      <c r="S215" s="47">
        <f>N215*Table225[[#This Row],[2016]]</f>
        <v>2.1007540002421766E-2</v>
      </c>
      <c r="V215" s="4">
        <f t="shared" si="4"/>
        <v>3.6363636363636364E-3</v>
      </c>
      <c r="W215" s="66">
        <f>V215*Table225[[#This Row],[2020]]</f>
        <v>0.32385141818181817</v>
      </c>
      <c r="X215" s="3">
        <f>V215*Table225[[#This Row],[2019]]</f>
        <v>0.19686563636363635</v>
      </c>
      <c r="Y215" s="4">
        <f>V215*Table225[[#This Row],[2018]]</f>
        <v>-3.0300832727272727E-4</v>
      </c>
      <c r="Z215" s="4">
        <f>V215*Table225[[#This Row],[2017]]</f>
        <v>6.1890654545454539E-2</v>
      </c>
      <c r="AA215" s="47">
        <f>V215*Table225[[#This Row],[2016]]</f>
        <v>0.15227898181818181</v>
      </c>
    </row>
    <row r="216" spans="1:27" x14ac:dyDescent="0.35">
      <c r="A216" s="83" t="s">
        <v>393</v>
      </c>
      <c r="B216" s="84" t="s">
        <v>889</v>
      </c>
      <c r="C216" s="84" t="str">
        <f>Table225[[#This Row],[Ticker]]&amp; ( "US EQUITY")</f>
        <v>POOLUS EQUITY</v>
      </c>
      <c r="D216" s="85">
        <v>1.0001250156269534E-3</v>
      </c>
      <c r="E216" s="85">
        <v>0.99899987498437304</v>
      </c>
      <c r="F216" s="86">
        <f>_xlfn.XLOOKUP(Table225[[#This Row],[Ticker]],'R'!B:B,'R'!D:D,"not found")</f>
        <v>3450000000</v>
      </c>
      <c r="G216" s="87">
        <v>76.943790000000007</v>
      </c>
      <c r="H216" s="88">
        <v>44.502290000000002</v>
      </c>
      <c r="I216" s="97">
        <v>15.97115</v>
      </c>
      <c r="J216" s="97">
        <v>25.782679999999999</v>
      </c>
      <c r="K216" s="104">
        <v>30.866209999999999</v>
      </c>
      <c r="N216" s="4">
        <f>'R'!E214</f>
        <v>3.9786192461381445E-4</v>
      </c>
      <c r="O216" s="66">
        <f>N216*Table225[[#This Row],[2020]]</f>
        <v>3.0613004376481172E-2</v>
      </c>
      <c r="P216" s="3">
        <f>N216*Table225[[#This Row],[2019]]</f>
        <v>1.7705766749122109E-2</v>
      </c>
      <c r="Q216" s="4">
        <f>N216*Table225[[#This Row],[2018]]</f>
        <v>6.3543124772959224E-3</v>
      </c>
      <c r="R216" s="4">
        <f>N216*Table225[[#This Row],[2017]]</f>
        <v>1.02579466865021E-2</v>
      </c>
      <c r="S216" s="47">
        <f>N216*Table225[[#This Row],[2016]]</f>
        <v>1.2280489716134164E-2</v>
      </c>
      <c r="V216" s="4">
        <f t="shared" si="4"/>
        <v>3.6363636363636364E-3</v>
      </c>
      <c r="W216" s="66">
        <f>V216*Table225[[#This Row],[2020]]</f>
        <v>0.27979560000000003</v>
      </c>
      <c r="X216" s="3">
        <f>V216*Table225[[#This Row],[2019]]</f>
        <v>0.16182650909090909</v>
      </c>
      <c r="Y216" s="4">
        <f>V216*Table225[[#This Row],[2018]]</f>
        <v>5.8076909090909089E-2</v>
      </c>
      <c r="Z216" s="4">
        <f>V216*Table225[[#This Row],[2017]]</f>
        <v>9.3755199999999997E-2</v>
      </c>
      <c r="AA216" s="47">
        <f>V216*Table225[[#This Row],[2016]]</f>
        <v>0.11224076363636364</v>
      </c>
    </row>
    <row r="217" spans="1:27" x14ac:dyDescent="0.35">
      <c r="A217" s="83" t="s">
        <v>470</v>
      </c>
      <c r="B217" s="84" t="s">
        <v>957</v>
      </c>
      <c r="C217" s="91" t="str">
        <f>B217&amp;( " US EQUITY")</f>
        <v>URI US EQUITY</v>
      </c>
      <c r="D217" s="85">
        <v>0.18</v>
      </c>
      <c r="E217" s="85">
        <v>0.82</v>
      </c>
      <c r="F217" s="86">
        <f>_xlfn.XLOOKUP(Table225[[#This Row],[Ticker]],'R'!B:B,'R'!D:D,"not found")</f>
        <v>6660000000</v>
      </c>
      <c r="G217" s="87">
        <v>39.059800000000003</v>
      </c>
      <c r="H217" s="92">
        <v>62.65484</v>
      </c>
      <c r="I217" s="105">
        <v>-40.358319999999999</v>
      </c>
      <c r="J217" s="105">
        <v>62.824379999999998</v>
      </c>
      <c r="K217" s="106">
        <v>45.547289999999997</v>
      </c>
      <c r="N217" s="4">
        <f>'R'!E215</f>
        <v>7.6804649795014616E-4</v>
      </c>
      <c r="O217" s="66">
        <f>N217*G217</f>
        <v>2.9999742600633122E-2</v>
      </c>
      <c r="P217" s="3">
        <f>N217*H217</f>
        <v>4.8121830441626733E-2</v>
      </c>
      <c r="Q217" s="4">
        <f>N217*I217</f>
        <v>-3.0997066339151343E-2</v>
      </c>
      <c r="R217" s="4">
        <f>N217*J217</f>
        <v>4.8252045044889204E-2</v>
      </c>
      <c r="S217" s="47">
        <f>N217*K217</f>
        <v>3.498243657561971E-2</v>
      </c>
      <c r="V217" s="4">
        <f t="shared" si="4"/>
        <v>3.6363636363636364E-3</v>
      </c>
      <c r="W217" s="66">
        <f>V217*G217</f>
        <v>0.14203563636363636</v>
      </c>
      <c r="X217" s="3">
        <f>V217*H217</f>
        <v>0.22783578181818182</v>
      </c>
      <c r="Y217" s="4">
        <f>V217*I217</f>
        <v>-0.14675752727272726</v>
      </c>
      <c r="Z217" s="4">
        <f>V217*J217</f>
        <v>0.22845229090909089</v>
      </c>
      <c r="AA217" s="47">
        <f>V217*K217</f>
        <v>0.16562650909090909</v>
      </c>
    </row>
    <row r="218" spans="1:27" x14ac:dyDescent="0.35">
      <c r="A218" s="83" t="s">
        <v>241</v>
      </c>
      <c r="B218" s="84" t="s">
        <v>741</v>
      </c>
      <c r="C218" s="91" t="str">
        <f t="shared" ref="C218:C278" si="5">B218&amp;( " US EQUITY")</f>
        <v>FAST US EQUITY</v>
      </c>
      <c r="D218" s="85">
        <v>8.391339997557614E-3</v>
      </c>
      <c r="E218" s="85">
        <v>0.99160866000244241</v>
      </c>
      <c r="F218" s="86">
        <f>_xlfn.XLOOKUP(Table225[[#This Row],[Ticker]],'R'!B:B,'R'!D:D,"not found")</f>
        <v>11820000000</v>
      </c>
      <c r="G218" s="87">
        <v>36.570010000000003</v>
      </c>
      <c r="H218" s="92">
        <v>45.037509999999997</v>
      </c>
      <c r="I218" s="105">
        <v>-1.569188</v>
      </c>
      <c r="J218" s="105">
        <v>19.668230000000001</v>
      </c>
      <c r="K218" s="106">
        <v>18.512</v>
      </c>
      <c r="N218" s="4">
        <f>'R'!E216</f>
        <v>1.3631095504160252E-3</v>
      </c>
      <c r="O218" s="66">
        <f t="shared" ref="O218:O278" si="6">N218*G218</f>
        <v>4.9848929889809553E-2</v>
      </c>
      <c r="P218" s="3">
        <f t="shared" ref="P218:P278" si="7">N218*H218</f>
        <v>6.1391060007957236E-2</v>
      </c>
      <c r="Q218" s="4">
        <f t="shared" ref="Q218:Q278" si="8">N218*I218</f>
        <v>-2.1389751491982219E-3</v>
      </c>
      <c r="R218" s="4">
        <f t="shared" ref="R218:R278" si="9">N218*J218</f>
        <v>2.6809952152778982E-2</v>
      </c>
      <c r="S218" s="47">
        <f t="shared" ref="S218:S278" si="10">N218*K218</f>
        <v>2.5233883997301459E-2</v>
      </c>
      <c r="V218" s="4">
        <f t="shared" si="4"/>
        <v>3.6363636363636364E-3</v>
      </c>
      <c r="W218" s="66">
        <f t="shared" ref="W218:W278" si="11">V218*G218</f>
        <v>0.13298185454545455</v>
      </c>
      <c r="X218" s="3">
        <f t="shared" ref="X218:X278" si="12">V218*H218</f>
        <v>0.16377276363636362</v>
      </c>
      <c r="Y218" s="4">
        <f t="shared" ref="Y218:Y278" si="13">V218*I218</f>
        <v>-5.7061381818181815E-3</v>
      </c>
      <c r="Z218" s="4">
        <f t="shared" ref="Z218:Z278" si="14">V218*J218</f>
        <v>7.1520836363636361E-2</v>
      </c>
      <c r="AA218" s="47">
        <f t="shared" ref="AA218:AA278" si="15">V218*K218</f>
        <v>6.7316363636363633E-2</v>
      </c>
    </row>
    <row r="219" spans="1:27" x14ac:dyDescent="0.35">
      <c r="A219" s="83" t="s">
        <v>6</v>
      </c>
      <c r="B219" s="84" t="s">
        <v>518</v>
      </c>
      <c r="C219" s="91" t="str">
        <f t="shared" si="5"/>
        <v>SNA US EQUITY</v>
      </c>
      <c r="D219" s="85">
        <v>8.8068181818181823E-2</v>
      </c>
      <c r="E219" s="85">
        <v>0.91193181818181823</v>
      </c>
      <c r="F219" s="86">
        <f>_xlfn.XLOOKUP(Table225[[#This Row],[Ticker]],'R'!B:B,'R'!D:D,"not found")</f>
        <v>9960000000</v>
      </c>
      <c r="G219" s="87">
        <v>4.006672</v>
      </c>
      <c r="H219" s="92">
        <v>19.542300000000001</v>
      </c>
      <c r="I219" s="105">
        <v>-14.854229999999999</v>
      </c>
      <c r="J219" s="105">
        <v>3.6529180000000001</v>
      </c>
      <c r="K219" s="106">
        <v>1.5358449999999999</v>
      </c>
      <c r="N219" s="4">
        <f>'R'!E217</f>
        <v>1.1486100780155339E-3</v>
      </c>
      <c r="O219" s="66">
        <f t="shared" si="6"/>
        <v>4.6021038385026551E-3</v>
      </c>
      <c r="P219" s="3">
        <f t="shared" si="7"/>
        <v>2.2446482727602971E-2</v>
      </c>
      <c r="Q219" s="4">
        <f t="shared" si="8"/>
        <v>-1.7061718279160684E-2</v>
      </c>
      <c r="R219" s="4">
        <f t="shared" si="9"/>
        <v>4.1957784289643483E-3</v>
      </c>
      <c r="S219" s="47">
        <f t="shared" si="10"/>
        <v>1.7640870452697677E-3</v>
      </c>
      <c r="V219" s="4">
        <f t="shared" si="4"/>
        <v>3.6363636363636364E-3</v>
      </c>
      <c r="W219" s="66">
        <f t="shared" si="11"/>
        <v>1.4569716363636364E-2</v>
      </c>
      <c r="X219" s="3">
        <f t="shared" si="12"/>
        <v>7.1062909090909093E-2</v>
      </c>
      <c r="Y219" s="4">
        <f t="shared" si="13"/>
        <v>-5.4015381818181815E-2</v>
      </c>
      <c r="Z219" s="4">
        <f t="shared" si="14"/>
        <v>1.3283338181818182E-2</v>
      </c>
      <c r="AA219" s="47">
        <f t="shared" si="15"/>
        <v>5.5848909090909088E-3</v>
      </c>
    </row>
    <row r="220" spans="1:27" x14ac:dyDescent="0.35">
      <c r="A220" s="83" t="s">
        <v>254</v>
      </c>
      <c r="B220" s="84" t="s">
        <v>752</v>
      </c>
      <c r="C220" s="91" t="str">
        <f t="shared" si="5"/>
        <v>FBHS US EQUITY</v>
      </c>
      <c r="D220" s="85">
        <v>7.6306306306306304E-2</v>
      </c>
      <c r="E220" s="85">
        <v>0.9236936936936937</v>
      </c>
      <c r="F220" s="86">
        <f>_xlfn.XLOOKUP(Table225[[#This Row],[Ticker]],'R'!B:B,'R'!D:D,"not found")</f>
        <v>8870000000</v>
      </c>
      <c r="G220" s="87">
        <v>32.962060000000001</v>
      </c>
      <c r="H220" s="92">
        <v>74.880160000000004</v>
      </c>
      <c r="I220" s="105">
        <v>-43.652389999999997</v>
      </c>
      <c r="J220" s="105">
        <v>29.521049999999999</v>
      </c>
      <c r="K220" s="106">
        <v>-2.5910739999999999</v>
      </c>
      <c r="N220" s="4">
        <f>'R'!E218</f>
        <v>1.0229087742969665E-3</v>
      </c>
      <c r="O220" s="66">
        <f t="shared" si="6"/>
        <v>3.3717180392903071E-2</v>
      </c>
      <c r="P220" s="3">
        <f t="shared" si="7"/>
        <v>7.6595572684760749E-2</v>
      </c>
      <c r="Q220" s="4">
        <f t="shared" si="8"/>
        <v>-4.4652412750033156E-2</v>
      </c>
      <c r="R220" s="4">
        <f t="shared" si="9"/>
        <v>3.0197341071459462E-2</v>
      </c>
      <c r="S220" s="47">
        <f t="shared" si="10"/>
        <v>-2.650432329452738E-3</v>
      </c>
      <c r="V220" s="4">
        <f t="shared" si="4"/>
        <v>3.6363636363636364E-3</v>
      </c>
      <c r="W220" s="66">
        <f t="shared" si="11"/>
        <v>0.11986203636363636</v>
      </c>
      <c r="X220" s="3">
        <f t="shared" si="12"/>
        <v>0.27229149090909094</v>
      </c>
      <c r="Y220" s="4">
        <f t="shared" si="13"/>
        <v>-0.15873596363636364</v>
      </c>
      <c r="Z220" s="4">
        <f t="shared" si="14"/>
        <v>0.10734927272727272</v>
      </c>
      <c r="AA220" s="47">
        <f t="shared" si="15"/>
        <v>-9.4220872727272722E-3</v>
      </c>
    </row>
    <row r="221" spans="1:27" x14ac:dyDescent="0.35">
      <c r="A221" s="83" t="s">
        <v>169</v>
      </c>
      <c r="B221" s="84" t="s">
        <v>673</v>
      </c>
      <c r="C221" s="91" t="str">
        <f t="shared" si="5"/>
        <v>CINF US EQUITY</v>
      </c>
      <c r="D221" s="85">
        <v>1.6401715871814281E-2</v>
      </c>
      <c r="E221" s="85">
        <v>0.98359828412818573</v>
      </c>
      <c r="F221" s="86">
        <f>_xlfn.XLOOKUP(Table225[[#This Row],[Ticker]],'R'!B:B,'R'!D:D,"not found")</f>
        <v>9700000000</v>
      </c>
      <c r="G221" s="87">
        <v>-14.23011</v>
      </c>
      <c r="H221" s="92">
        <v>38.87377</v>
      </c>
      <c r="I221" s="105">
        <v>6.2380909999999998</v>
      </c>
      <c r="J221" s="105">
        <v>2.3489239999999998</v>
      </c>
      <c r="K221" s="106">
        <v>31.505279999999999</v>
      </c>
      <c r="N221" s="4">
        <f>'R'!E219</f>
        <v>1.1186262807982609E-3</v>
      </c>
      <c r="O221" s="66">
        <f t="shared" si="6"/>
        <v>-1.5918175024650139E-2</v>
      </c>
      <c r="P221" s="3">
        <f t="shared" si="7"/>
        <v>4.3485220755707009E-2</v>
      </c>
      <c r="Q221" s="4">
        <f t="shared" si="8"/>
        <v>6.9780925346111036E-3</v>
      </c>
      <c r="R221" s="4">
        <f t="shared" si="9"/>
        <v>2.6275681179977741E-3</v>
      </c>
      <c r="S221" s="47">
        <f t="shared" si="10"/>
        <v>3.5242634191907832E-2</v>
      </c>
      <c r="V221" s="4">
        <f t="shared" si="4"/>
        <v>3.6363636363636364E-3</v>
      </c>
      <c r="W221" s="66">
        <f t="shared" si="11"/>
        <v>-5.1745854545454543E-2</v>
      </c>
      <c r="X221" s="3">
        <f t="shared" si="12"/>
        <v>0.14135916363636364</v>
      </c>
      <c r="Y221" s="4">
        <f t="shared" si="13"/>
        <v>2.2683967272727271E-2</v>
      </c>
      <c r="Z221" s="4">
        <f t="shared" si="14"/>
        <v>8.5415418181818172E-3</v>
      </c>
      <c r="AA221" s="47">
        <f t="shared" si="15"/>
        <v>0.11456465454545454</v>
      </c>
    </row>
    <row r="222" spans="1:27" x14ac:dyDescent="0.35">
      <c r="A222" s="83" t="s">
        <v>141</v>
      </c>
      <c r="B222" s="84" t="s">
        <v>645</v>
      </c>
      <c r="C222" s="91" t="str">
        <f t="shared" si="5"/>
        <v>BWA US EQUITY</v>
      </c>
      <c r="D222" s="85">
        <v>0.44086975815398272</v>
      </c>
      <c r="E222" s="85">
        <v>0.55913024184601734</v>
      </c>
      <c r="F222" s="86">
        <f>_xlfn.XLOOKUP(Table225[[#This Row],[Ticker]],'R'!B:B,'R'!D:D,"not found")</f>
        <v>9480000000</v>
      </c>
      <c r="G222" s="87">
        <v>-9.2013359999999995</v>
      </c>
      <c r="H222" s="92">
        <v>27.162479999999999</v>
      </c>
      <c r="I222" s="105">
        <v>-30.967860000000002</v>
      </c>
      <c r="J222" s="105">
        <v>31.204070000000002</v>
      </c>
      <c r="K222" s="106">
        <v>-7.3305790000000002</v>
      </c>
      <c r="N222" s="4">
        <f>'R'!E220</f>
        <v>1.0932553754605685E-3</v>
      </c>
      <c r="O222" s="66">
        <f t="shared" si="6"/>
        <v>-1.0059410043418844E-2</v>
      </c>
      <c r="P222" s="3">
        <f t="shared" si="7"/>
        <v>2.9695527270840179E-2</v>
      </c>
      <c r="Q222" s="4">
        <f t="shared" si="8"/>
        <v>-3.3855779411510321E-2</v>
      </c>
      <c r="R222" s="4">
        <f t="shared" si="9"/>
        <v>3.411401726374786E-2</v>
      </c>
      <c r="S222" s="47">
        <f t="shared" si="10"/>
        <v>-8.0141948969883591E-3</v>
      </c>
      <c r="V222" s="4">
        <f t="shared" si="4"/>
        <v>3.6363636363636364E-3</v>
      </c>
      <c r="W222" s="66">
        <f t="shared" si="11"/>
        <v>-3.3459403636363634E-2</v>
      </c>
      <c r="X222" s="3">
        <f t="shared" si="12"/>
        <v>9.8772654545454544E-2</v>
      </c>
      <c r="Y222" s="4">
        <f t="shared" si="13"/>
        <v>-0.1126104</v>
      </c>
      <c r="Z222" s="4">
        <f t="shared" si="14"/>
        <v>0.11346934545454546</v>
      </c>
      <c r="AA222" s="47">
        <f t="shared" si="15"/>
        <v>-2.6656650909090911E-2</v>
      </c>
    </row>
    <row r="223" spans="1:27" x14ac:dyDescent="0.35">
      <c r="A223" s="83" t="s">
        <v>7</v>
      </c>
      <c r="B223" s="84" t="s">
        <v>519</v>
      </c>
      <c r="C223" s="91" t="str">
        <f t="shared" si="5"/>
        <v>GPC US EQUITY</v>
      </c>
      <c r="D223" s="85">
        <v>8.4726551431000288E-2</v>
      </c>
      <c r="E223" s="85">
        <v>0.91527344856899973</v>
      </c>
      <c r="F223" s="86">
        <f>_xlfn.XLOOKUP(Table225[[#This Row],[Ticker]],'R'!B:B,'R'!D:D,"not found")</f>
        <v>12890000000</v>
      </c>
      <c r="G223" s="87">
        <v>-2.179265</v>
      </c>
      <c r="H223" s="92">
        <v>14.0198</v>
      </c>
      <c r="I223" s="105">
        <v>4.1102290000000004</v>
      </c>
      <c r="J223" s="105">
        <v>2.4405839999999999</v>
      </c>
      <c r="K223" s="106">
        <v>14.26905</v>
      </c>
      <c r="N223" s="4">
        <f>'R'!E221</f>
        <v>1.4865044081948024E-3</v>
      </c>
      <c r="O223" s="66">
        <f t="shared" si="6"/>
        <v>-3.2394870291246459E-3</v>
      </c>
      <c r="P223" s="3">
        <f t="shared" si="7"/>
        <v>2.0840494502009491E-2</v>
      </c>
      <c r="Q223" s="4">
        <f t="shared" si="8"/>
        <v>6.1098735271901154E-3</v>
      </c>
      <c r="R223" s="4">
        <f t="shared" si="9"/>
        <v>3.6279388745697034E-3</v>
      </c>
      <c r="S223" s="47">
        <f t="shared" si="10"/>
        <v>2.1211005725752047E-2</v>
      </c>
      <c r="V223" s="4">
        <f t="shared" si="4"/>
        <v>3.6363636363636364E-3</v>
      </c>
      <c r="W223" s="66">
        <f t="shared" si="11"/>
        <v>-7.9246000000000004E-3</v>
      </c>
      <c r="X223" s="3">
        <f t="shared" si="12"/>
        <v>5.0981090909090906E-2</v>
      </c>
      <c r="Y223" s="4">
        <f t="shared" si="13"/>
        <v>1.4946287272727274E-2</v>
      </c>
      <c r="Z223" s="4">
        <f t="shared" si="14"/>
        <v>8.8748509090909086E-3</v>
      </c>
      <c r="AA223" s="47">
        <f t="shared" si="15"/>
        <v>5.1887454545454542E-2</v>
      </c>
    </row>
    <row r="224" spans="1:27" x14ac:dyDescent="0.35">
      <c r="A224" s="83" t="s">
        <v>8</v>
      </c>
      <c r="B224" s="84" t="s">
        <v>520</v>
      </c>
      <c r="C224" s="91" t="str">
        <f t="shared" si="5"/>
        <v>HBI US EQUITY</v>
      </c>
      <c r="D224" s="85">
        <v>2.1135823523374151E-2</v>
      </c>
      <c r="E224" s="85">
        <v>0.97886417647662582</v>
      </c>
      <c r="F224" s="86">
        <f>_xlfn.XLOOKUP(Table225[[#This Row],[Ticker]],'R'!B:B,'R'!D:D,"not found")</f>
        <v>11530000000</v>
      </c>
      <c r="G224" s="87">
        <v>2.958345</v>
      </c>
      <c r="H224" s="92">
        <v>22.970310000000001</v>
      </c>
      <c r="I224" s="105">
        <v>-38.038539999999998</v>
      </c>
      <c r="J224" s="105">
        <v>-0.29125810000000002</v>
      </c>
      <c r="K224" s="106">
        <v>-25.451920000000001</v>
      </c>
      <c r="N224" s="4">
        <f>'R'!E222</f>
        <v>1.3296660842890668E-3</v>
      </c>
      <c r="O224" s="66">
        <f t="shared" si="6"/>
        <v>3.9336110121261396E-3</v>
      </c>
      <c r="P224" s="3">
        <f t="shared" si="7"/>
        <v>3.0542842152605994E-2</v>
      </c>
      <c r="Q224" s="4">
        <f t="shared" si="8"/>
        <v>-5.0578556533873033E-2</v>
      </c>
      <c r="R224" s="4">
        <f t="shared" si="9"/>
        <v>-3.872760173444735E-4</v>
      </c>
      <c r="S224" s="47">
        <f t="shared" si="10"/>
        <v>-3.384255480403859E-2</v>
      </c>
      <c r="V224" s="4">
        <f t="shared" si="4"/>
        <v>3.6363636363636364E-3</v>
      </c>
      <c r="W224" s="66">
        <f t="shared" si="11"/>
        <v>1.0757618181818182E-2</v>
      </c>
      <c r="X224" s="3">
        <f t="shared" si="12"/>
        <v>8.3528400000000003E-2</v>
      </c>
      <c r="Y224" s="4">
        <f t="shared" si="13"/>
        <v>-0.13832196363636362</v>
      </c>
      <c r="Z224" s="4">
        <f t="shared" si="14"/>
        <v>-1.0591203636363636E-3</v>
      </c>
      <c r="AA224" s="47">
        <f t="shared" si="15"/>
        <v>-9.2552436363636373E-2</v>
      </c>
    </row>
    <row r="225" spans="1:27" x14ac:dyDescent="0.35">
      <c r="A225" s="83" t="s">
        <v>9</v>
      </c>
      <c r="B225" s="84" t="s">
        <v>521</v>
      </c>
      <c r="C225" s="91" t="str">
        <f t="shared" si="5"/>
        <v>MNST US EQUITY</v>
      </c>
      <c r="D225" s="85">
        <v>0.34571286141575275</v>
      </c>
      <c r="E225" s="85">
        <v>0.65428713858424725</v>
      </c>
      <c r="F225" s="86">
        <f>_xlfn.XLOOKUP(Table225[[#This Row],[Ticker]],'R'!B:B,'R'!D:D,"not found")</f>
        <v>30220000000</v>
      </c>
      <c r="G225" s="87">
        <v>45.523220000000002</v>
      </c>
      <c r="H225" s="92">
        <v>29.114190000000001</v>
      </c>
      <c r="I225" s="105">
        <v>-22.231000000000002</v>
      </c>
      <c r="J225" s="105">
        <v>42.737940000000002</v>
      </c>
      <c r="K225" s="106">
        <v>-10.70087</v>
      </c>
      <c r="N225" s="4">
        <f>'R'!E223</f>
        <v>3.4850398150230357E-3</v>
      </c>
      <c r="O225" s="66">
        <f t="shared" si="6"/>
        <v>0.15865023420805296</v>
      </c>
      <c r="P225" s="3">
        <f t="shared" si="7"/>
        <v>0.10146411133214552</v>
      </c>
      <c r="Q225" s="4">
        <f t="shared" si="8"/>
        <v>-7.7475920127777112E-2</v>
      </c>
      <c r="R225" s="4">
        <f t="shared" si="9"/>
        <v>0.1489434225120656</v>
      </c>
      <c r="S225" s="47">
        <f t="shared" si="10"/>
        <v>-3.7292958005385554E-2</v>
      </c>
      <c r="V225" s="4">
        <f t="shared" si="4"/>
        <v>3.6363636363636364E-3</v>
      </c>
      <c r="W225" s="66">
        <f t="shared" si="11"/>
        <v>0.16553898181818183</v>
      </c>
      <c r="X225" s="3">
        <f t="shared" si="12"/>
        <v>0.10586978181818182</v>
      </c>
      <c r="Y225" s="4">
        <f t="shared" si="13"/>
        <v>-8.0840000000000009E-2</v>
      </c>
      <c r="Z225" s="4">
        <f t="shared" si="14"/>
        <v>0.1554106909090909</v>
      </c>
      <c r="AA225" s="47">
        <f t="shared" si="15"/>
        <v>-3.8912254545454543E-2</v>
      </c>
    </row>
    <row r="226" spans="1:27" x14ac:dyDescent="0.35">
      <c r="A226" s="83" t="s">
        <v>249</v>
      </c>
      <c r="B226" s="84" t="s">
        <v>250</v>
      </c>
      <c r="C226" s="91" t="str">
        <f t="shared" si="5"/>
        <v>FLS US EQUITY</v>
      </c>
      <c r="D226" s="85">
        <v>0.46732888406022038</v>
      </c>
      <c r="E226" s="85">
        <v>0.53267111593977956</v>
      </c>
      <c r="F226" s="86">
        <f>_xlfn.XLOOKUP(Table225[[#This Row],[Ticker]],'R'!B:B,'R'!D:D,"not found")</f>
        <v>5430000000</v>
      </c>
      <c r="G226" s="87">
        <v>-23.873200000000001</v>
      </c>
      <c r="H226" s="92">
        <v>33.673999999999999</v>
      </c>
      <c r="I226" s="105">
        <v>-8.2065219999999997</v>
      </c>
      <c r="J226" s="105">
        <v>-11.17989</v>
      </c>
      <c r="K226" s="106">
        <v>16.012260000000001</v>
      </c>
      <c r="N226" s="4">
        <f>'R'!E224</f>
        <v>6.2620007265304714E-4</v>
      </c>
      <c r="O226" s="66">
        <f t="shared" si="6"/>
        <v>-1.4949399574460726E-2</v>
      </c>
      <c r="P226" s="3">
        <f t="shared" si="7"/>
        <v>2.1086661246518708E-2</v>
      </c>
      <c r="Q226" s="4">
        <f t="shared" si="8"/>
        <v>-5.1389246726288298E-3</v>
      </c>
      <c r="R226" s="4">
        <f t="shared" si="9"/>
        <v>-7.0008479302530752E-3</v>
      </c>
      <c r="S226" s="47">
        <f t="shared" si="10"/>
        <v>1.0026878375339481E-2</v>
      </c>
      <c r="V226" s="4">
        <f t="shared" si="4"/>
        <v>3.6363636363636364E-3</v>
      </c>
      <c r="W226" s="66">
        <f t="shared" si="11"/>
        <v>-8.6811636363636369E-2</v>
      </c>
      <c r="X226" s="3">
        <f t="shared" si="12"/>
        <v>0.12245090909090908</v>
      </c>
      <c r="Y226" s="4">
        <f t="shared" si="13"/>
        <v>-2.9841898181818181E-2</v>
      </c>
      <c r="Z226" s="4">
        <f t="shared" si="14"/>
        <v>-4.0654145454545453E-2</v>
      </c>
      <c r="AA226" s="47">
        <f t="shared" si="15"/>
        <v>5.8226400000000005E-2</v>
      </c>
    </row>
    <row r="227" spans="1:27" x14ac:dyDescent="0.35">
      <c r="A227" s="83" t="s">
        <v>494</v>
      </c>
      <c r="B227" s="84" t="s">
        <v>978</v>
      </c>
      <c r="C227" s="91" t="str">
        <f t="shared" si="5"/>
        <v>WELL US EQUITY</v>
      </c>
      <c r="D227" s="85">
        <v>0.20279310344827586</v>
      </c>
      <c r="E227" s="85">
        <v>0.79720689655172416</v>
      </c>
      <c r="F227" s="86">
        <f>_xlfn.XLOOKUP(Table225[[#This Row],[Ticker]],'R'!B:B,'R'!D:D,"not found")</f>
        <v>24140000000</v>
      </c>
      <c r="G227" s="87">
        <v>-17.48564</v>
      </c>
      <c r="H227" s="92">
        <v>23.032080000000001</v>
      </c>
      <c r="I227" s="105">
        <v>15.30231</v>
      </c>
      <c r="J227" s="105">
        <v>0.19856689999999999</v>
      </c>
      <c r="K227" s="106">
        <v>3.372169</v>
      </c>
      <c r="N227" s="4">
        <f>'R'!E225</f>
        <v>2.783880249326806E-3</v>
      </c>
      <c r="O227" s="66">
        <f t="shared" si="6"/>
        <v>-4.8677927842838774E-2</v>
      </c>
      <c r="P227" s="3">
        <f t="shared" si="7"/>
        <v>6.411855261291495E-2</v>
      </c>
      <c r="Q227" s="4">
        <f t="shared" si="8"/>
        <v>4.2599798578076081E-2</v>
      </c>
      <c r="R227" s="4">
        <f t="shared" si="9"/>
        <v>5.5278647108005093E-4</v>
      </c>
      <c r="S227" s="47">
        <f t="shared" si="10"/>
        <v>9.3877146764921263E-3</v>
      </c>
      <c r="V227" s="4">
        <f t="shared" si="4"/>
        <v>3.6363636363636364E-3</v>
      </c>
      <c r="W227" s="66">
        <f t="shared" si="11"/>
        <v>-6.3584145454545452E-2</v>
      </c>
      <c r="X227" s="3">
        <f t="shared" si="12"/>
        <v>8.3753018181818184E-2</v>
      </c>
      <c r="Y227" s="4">
        <f t="shared" si="13"/>
        <v>5.5644763636363635E-2</v>
      </c>
      <c r="Z227" s="4">
        <f t="shared" si="14"/>
        <v>7.2206145454545452E-4</v>
      </c>
      <c r="AA227" s="47">
        <f t="shared" si="15"/>
        <v>1.2262432727272727E-2</v>
      </c>
    </row>
    <row r="228" spans="1:27" x14ac:dyDescent="0.35">
      <c r="A228" s="83" t="s">
        <v>348</v>
      </c>
      <c r="B228" s="84" t="s">
        <v>845</v>
      </c>
      <c r="C228" s="91" t="str">
        <f t="shared" si="5"/>
        <v>MHK US EQUITY</v>
      </c>
      <c r="D228" s="85">
        <v>0.12980972515856237</v>
      </c>
      <c r="E228" s="85">
        <v>0.87019027484143763</v>
      </c>
      <c r="F228" s="86">
        <f>_xlfn.XLOOKUP(Table225[[#This Row],[Ticker]],'R'!B:B,'R'!D:D,"not found")</f>
        <v>14000000000</v>
      </c>
      <c r="G228" s="87">
        <v>3.3509609999999999</v>
      </c>
      <c r="H228" s="92">
        <v>16.603960000000001</v>
      </c>
      <c r="I228" s="105">
        <v>-57.60783</v>
      </c>
      <c r="J228" s="105">
        <v>38.17107</v>
      </c>
      <c r="K228" s="106">
        <v>5.4332260000000003</v>
      </c>
      <c r="N228" s="4">
        <f>'R'!E226</f>
        <v>1.61451215785316E-3</v>
      </c>
      <c r="O228" s="66">
        <f t="shared" si="6"/>
        <v>5.4101672749917824E-3</v>
      </c>
      <c r="P228" s="3">
        <f t="shared" si="7"/>
        <v>2.6807295288507556E-2</v>
      </c>
      <c r="Q228" s="4">
        <f t="shared" si="8"/>
        <v>-9.3008541922538004E-2</v>
      </c>
      <c r="R228" s="4">
        <f t="shared" si="9"/>
        <v>6.1627656593264024E-2</v>
      </c>
      <c r="S228" s="47">
        <f t="shared" si="10"/>
        <v>8.7720094333638941E-3</v>
      </c>
      <c r="V228" s="4">
        <f t="shared" si="4"/>
        <v>3.6363636363636364E-3</v>
      </c>
      <c r="W228" s="66">
        <f t="shared" si="11"/>
        <v>1.2185312727272727E-2</v>
      </c>
      <c r="X228" s="3">
        <f t="shared" si="12"/>
        <v>6.0378036363636367E-2</v>
      </c>
      <c r="Y228" s="4">
        <f t="shared" si="13"/>
        <v>-0.20948301818181819</v>
      </c>
      <c r="Z228" s="4">
        <f t="shared" si="14"/>
        <v>0.1388038909090909</v>
      </c>
      <c r="AA228" s="47">
        <f t="shared" si="15"/>
        <v>1.9757185454545457E-2</v>
      </c>
    </row>
    <row r="229" spans="1:27" x14ac:dyDescent="0.35">
      <c r="A229" s="83" t="s">
        <v>487</v>
      </c>
      <c r="B229" s="84" t="s">
        <v>971</v>
      </c>
      <c r="C229" s="91" t="str">
        <f t="shared" si="5"/>
        <v>WAB US EQUITY</v>
      </c>
      <c r="D229" s="85">
        <v>2.382600459033116E-2</v>
      </c>
      <c r="E229" s="85">
        <v>0.97617399540966887</v>
      </c>
      <c r="F229" s="86">
        <f>_xlfn.XLOOKUP(Table225[[#This Row],[Ticker]],'R'!B:B,'R'!D:D,"not found")</f>
        <v>6530000000</v>
      </c>
      <c r="G229" s="87">
        <v>-5.2358029999999998</v>
      </c>
      <c r="H229" s="92">
        <v>11.470420000000001</v>
      </c>
      <c r="I229" s="105">
        <v>-13.259650000000001</v>
      </c>
      <c r="J229" s="105">
        <v>-1.361847</v>
      </c>
      <c r="K229" s="106">
        <v>17.299009999999999</v>
      </c>
      <c r="N229" s="4">
        <f>'R'!E227</f>
        <v>7.5305459934150965E-4</v>
      </c>
      <c r="O229" s="66">
        <f t="shared" si="6"/>
        <v>-3.9428455303960738E-3</v>
      </c>
      <c r="P229" s="3">
        <f t="shared" si="7"/>
        <v>8.637852537378839E-3</v>
      </c>
      <c r="Q229" s="4">
        <f t="shared" si="8"/>
        <v>-9.9852404181586495E-3</v>
      </c>
      <c r="R229" s="4">
        <f t="shared" si="9"/>
        <v>-1.0255451469494369E-3</v>
      </c>
      <c r="S229" s="47">
        <f t="shared" si="10"/>
        <v>1.3027099044554768E-2</v>
      </c>
      <c r="V229" s="4">
        <f t="shared" si="4"/>
        <v>3.6363636363636364E-3</v>
      </c>
      <c r="W229" s="66">
        <f t="shared" si="11"/>
        <v>-1.9039283636363636E-2</v>
      </c>
      <c r="X229" s="3">
        <f t="shared" si="12"/>
        <v>4.1710618181818183E-2</v>
      </c>
      <c r="Y229" s="4">
        <f t="shared" si="13"/>
        <v>-4.8216909090909095E-2</v>
      </c>
      <c r="Z229" s="4">
        <f t="shared" si="14"/>
        <v>-4.952170909090909E-3</v>
      </c>
      <c r="AA229" s="47">
        <f t="shared" si="15"/>
        <v>6.2905490909090908E-2</v>
      </c>
    </row>
    <row r="230" spans="1:27" x14ac:dyDescent="0.35">
      <c r="A230" s="83" t="s">
        <v>422</v>
      </c>
      <c r="B230" s="84" t="s">
        <v>917</v>
      </c>
      <c r="C230" s="91" t="str">
        <f t="shared" si="5"/>
        <v>SEE US EQUITY</v>
      </c>
      <c r="D230" s="85">
        <v>0.28999999999999998</v>
      </c>
      <c r="E230" s="85">
        <v>0.71</v>
      </c>
      <c r="F230" s="86">
        <f>_xlfn.XLOOKUP(Table225[[#This Row],[Ticker]],'R'!B:B,'R'!D:D,"not found")</f>
        <v>8740000000</v>
      </c>
      <c r="G230" s="87">
        <v>17.013030000000001</v>
      </c>
      <c r="H230" s="92">
        <v>16.099910000000001</v>
      </c>
      <c r="I230" s="105">
        <v>-28.190629999999999</v>
      </c>
      <c r="J230" s="105">
        <v>10.25752</v>
      </c>
      <c r="K230" s="106">
        <v>3.0019279999999999</v>
      </c>
      <c r="N230" s="4">
        <f>'R'!E228</f>
        <v>1.00791687568833E-3</v>
      </c>
      <c r="O230" s="66">
        <f t="shared" si="6"/>
        <v>1.714772004359183E-2</v>
      </c>
      <c r="P230" s="3">
        <f t="shared" si="7"/>
        <v>1.6227370986063302E-2</v>
      </c>
      <c r="Q230" s="4">
        <f t="shared" si="8"/>
        <v>-2.8413811713285705E-2</v>
      </c>
      <c r="R230" s="4">
        <f t="shared" si="9"/>
        <v>1.0338727510710558E-2</v>
      </c>
      <c r="S230" s="47">
        <f t="shared" si="10"/>
        <v>3.0256938908013171E-3</v>
      </c>
      <c r="V230" s="4">
        <f t="shared" si="4"/>
        <v>3.6363636363636364E-3</v>
      </c>
      <c r="W230" s="66">
        <f t="shared" si="11"/>
        <v>6.1865563636363641E-2</v>
      </c>
      <c r="X230" s="3">
        <f t="shared" si="12"/>
        <v>5.8545127272727281E-2</v>
      </c>
      <c r="Y230" s="4">
        <f t="shared" si="13"/>
        <v>-0.10251138181818181</v>
      </c>
      <c r="Z230" s="4">
        <f t="shared" si="14"/>
        <v>3.7300072727272725E-2</v>
      </c>
      <c r="AA230" s="47">
        <f t="shared" si="15"/>
        <v>1.0916101818181818E-2</v>
      </c>
    </row>
    <row r="231" spans="1:27" x14ac:dyDescent="0.35">
      <c r="A231" s="83" t="s">
        <v>382</v>
      </c>
      <c r="B231" s="84" t="s">
        <v>878</v>
      </c>
      <c r="C231" s="91" t="str">
        <f t="shared" si="5"/>
        <v>PAYC US EQUITY</v>
      </c>
      <c r="D231" s="85">
        <v>0.11317829457364341</v>
      </c>
      <c r="E231" s="85">
        <v>0.88682170542635663</v>
      </c>
      <c r="F231" s="86">
        <f>_xlfn.XLOOKUP(Table225[[#This Row],[Ticker]],'R'!B:B,'R'!D:D,"not found")</f>
        <v>2150000000</v>
      </c>
      <c r="G231" s="87">
        <v>70.815089999999998</v>
      </c>
      <c r="H231" s="92">
        <v>116.2188</v>
      </c>
      <c r="I231" s="105">
        <v>52.433689999999999</v>
      </c>
      <c r="J231" s="105">
        <v>76.588250000000002</v>
      </c>
      <c r="K231" s="106">
        <v>20.887609999999999</v>
      </c>
      <c r="N231" s="4">
        <f>'R'!E229</f>
        <v>2.4794293852744957E-4</v>
      </c>
      <c r="O231" s="66">
        <f t="shared" si="6"/>
        <v>1.7558101506685807E-2</v>
      </c>
      <c r="P231" s="3">
        <f t="shared" si="7"/>
        <v>2.8815630784133957E-2</v>
      </c>
      <c r="Q231" s="4">
        <f t="shared" si="8"/>
        <v>1.3000563176437347E-2</v>
      </c>
      <c r="R231" s="4">
        <f t="shared" si="9"/>
        <v>1.898951576167494E-2</v>
      </c>
      <c r="S231" s="47">
        <f t="shared" si="10"/>
        <v>5.1789354022153409E-3</v>
      </c>
      <c r="V231" s="4">
        <f t="shared" si="4"/>
        <v>3.6363636363636364E-3</v>
      </c>
      <c r="W231" s="66">
        <f t="shared" si="11"/>
        <v>0.25750941818181816</v>
      </c>
      <c r="X231" s="3">
        <f t="shared" si="12"/>
        <v>0.4226138181818182</v>
      </c>
      <c r="Y231" s="4">
        <f t="shared" si="13"/>
        <v>0.19066796363636362</v>
      </c>
      <c r="Z231" s="4">
        <f t="shared" si="14"/>
        <v>0.27850272727272729</v>
      </c>
      <c r="AA231" s="47">
        <f t="shared" si="15"/>
        <v>7.5954945454545453E-2</v>
      </c>
    </row>
    <row r="232" spans="1:27" x14ac:dyDescent="0.35">
      <c r="A232" s="83" t="s">
        <v>413</v>
      </c>
      <c r="B232" s="84" t="s">
        <v>908</v>
      </c>
      <c r="C232" s="91" t="str">
        <f t="shared" si="5"/>
        <v>RMD US EQUITY</v>
      </c>
      <c r="D232" s="85">
        <v>1.7102417928051897E-2</v>
      </c>
      <c r="E232" s="85">
        <v>0.98289758207194811</v>
      </c>
      <c r="F232" s="86">
        <f>_xlfn.XLOOKUP(Table225[[#This Row],[Ticker]],'R'!B:B,'R'!D:D,"not found")</f>
        <v>7520000000</v>
      </c>
      <c r="G232" s="87">
        <v>38.344729999999998</v>
      </c>
      <c r="H232" s="92">
        <v>37.856160000000003</v>
      </c>
      <c r="I232" s="105">
        <v>36.3797</v>
      </c>
      <c r="J232" s="105">
        <v>39.06653</v>
      </c>
      <c r="K232" s="106">
        <v>18.016449999999999</v>
      </c>
      <c r="N232" s="4">
        <f>'R'!E230</f>
        <v>8.6722367336112605E-4</v>
      </c>
      <c r="O232" s="66">
        <f t="shared" si="6"/>
        <v>3.3253457604640567E-2</v>
      </c>
      <c r="P232" s="3">
        <f t="shared" si="7"/>
        <v>3.2829758134546527E-2</v>
      </c>
      <c r="Q232" s="4">
        <f t="shared" si="8"/>
        <v>3.1549337069775758E-2</v>
      </c>
      <c r="R232" s="4">
        <f t="shared" si="9"/>
        <v>3.3879419652072633E-2</v>
      </c>
      <c r="S232" s="47">
        <f t="shared" si="10"/>
        <v>1.5624291949927059E-2</v>
      </c>
      <c r="V232" s="4">
        <f t="shared" si="4"/>
        <v>3.6363636363636364E-3</v>
      </c>
      <c r="W232" s="66">
        <f t="shared" si="11"/>
        <v>0.13943538181818182</v>
      </c>
      <c r="X232" s="3">
        <f t="shared" si="12"/>
        <v>0.13765876363636365</v>
      </c>
      <c r="Y232" s="4">
        <f t="shared" si="13"/>
        <v>0.13228981818181818</v>
      </c>
      <c r="Z232" s="4">
        <f t="shared" si="14"/>
        <v>0.1420601090909091</v>
      </c>
      <c r="AA232" s="47">
        <f t="shared" si="15"/>
        <v>6.5514363636363634E-2</v>
      </c>
    </row>
    <row r="233" spans="1:27" x14ac:dyDescent="0.35">
      <c r="A233" s="83" t="s">
        <v>420</v>
      </c>
      <c r="B233" s="84" t="s">
        <v>915</v>
      </c>
      <c r="C233" s="91" t="str">
        <f t="shared" si="5"/>
        <v>SBAC US EQUITY</v>
      </c>
      <c r="D233" s="85">
        <v>0.48064039408866993</v>
      </c>
      <c r="E233" s="85">
        <v>0.51935960591133001</v>
      </c>
      <c r="F233" s="86">
        <f>_xlfn.XLOOKUP(Table225[[#This Row],[Ticker]],'R'!B:B,'R'!D:D,"not found")</f>
        <v>13210000000</v>
      </c>
      <c r="G233" s="87">
        <v>17.82133</v>
      </c>
      <c r="H233" s="92">
        <v>49.29739</v>
      </c>
      <c r="I233" s="105">
        <v>-0.89983939999999996</v>
      </c>
      <c r="J233" s="105">
        <v>58.202590000000001</v>
      </c>
      <c r="K233" s="106">
        <v>-1.722664</v>
      </c>
      <c r="N233" s="4">
        <f>'R'!E231</f>
        <v>1.523407543231446E-3</v>
      </c>
      <c r="O233" s="66">
        <f t="shared" si="6"/>
        <v>2.7149148552416864E-2</v>
      </c>
      <c r="P233" s="3">
        <f t="shared" si="7"/>
        <v>7.5100015787622459E-2</v>
      </c>
      <c r="Q233" s="4">
        <f t="shared" si="8"/>
        <v>-1.3708221296568584E-3</v>
      </c>
      <c r="R233" s="4">
        <f t="shared" si="9"/>
        <v>8.8666264641607123E-2</v>
      </c>
      <c r="S233" s="47">
        <f t="shared" si="10"/>
        <v>-2.6243193320532555E-3</v>
      </c>
      <c r="V233" s="4">
        <f t="shared" si="4"/>
        <v>3.6363636363636364E-3</v>
      </c>
      <c r="W233" s="66">
        <f t="shared" si="11"/>
        <v>6.4804836363636362E-2</v>
      </c>
      <c r="X233" s="3">
        <f t="shared" si="12"/>
        <v>0.17926323636363636</v>
      </c>
      <c r="Y233" s="4">
        <f t="shared" si="13"/>
        <v>-3.2721432727272725E-3</v>
      </c>
      <c r="Z233" s="4">
        <f t="shared" si="14"/>
        <v>0.21164578181818183</v>
      </c>
      <c r="AA233" s="47">
        <f t="shared" si="15"/>
        <v>-6.2642327272727271E-3</v>
      </c>
    </row>
    <row r="234" spans="1:27" x14ac:dyDescent="0.35">
      <c r="A234" s="83" t="s">
        <v>491</v>
      </c>
      <c r="B234" s="84" t="s">
        <v>975</v>
      </c>
      <c r="C234" s="91" t="str">
        <f t="shared" si="5"/>
        <v>WAT US EQUITY</v>
      </c>
      <c r="D234" s="85">
        <v>0.14992343032159264</v>
      </c>
      <c r="E234" s="85">
        <v>0.85007656967840739</v>
      </c>
      <c r="F234" s="86">
        <f>_xlfn.XLOOKUP(Table225[[#This Row],[Ticker]],'R'!B:B,'R'!D:D,"not found")</f>
        <v>10940000000</v>
      </c>
      <c r="G234" s="87">
        <v>5.8934329999999999</v>
      </c>
      <c r="H234" s="92">
        <v>23.85369</v>
      </c>
      <c r="I234" s="105">
        <v>-2.3500200000000002</v>
      </c>
      <c r="J234" s="105">
        <v>43.753239999999998</v>
      </c>
      <c r="K234" s="106">
        <v>-0.14118549999999999</v>
      </c>
      <c r="N234" s="4">
        <f>'R'!E232</f>
        <v>1.2616259290652552E-3</v>
      </c>
      <c r="O234" s="66">
        <f t="shared" si="6"/>
        <v>7.4353078840088344E-3</v>
      </c>
      <c r="P234" s="3">
        <f t="shared" si="7"/>
        <v>3.0094433807884589E-2</v>
      </c>
      <c r="Q234" s="4">
        <f t="shared" si="8"/>
        <v>-2.9648461658219314E-3</v>
      </c>
      <c r="R234" s="4">
        <f t="shared" si="9"/>
        <v>5.5200222064615084E-2</v>
      </c>
      <c r="S234" s="47">
        <f t="shared" si="10"/>
        <v>-1.7812328760804258E-4</v>
      </c>
      <c r="V234" s="4">
        <f t="shared" si="4"/>
        <v>3.6363636363636364E-3</v>
      </c>
      <c r="W234" s="66">
        <f t="shared" si="11"/>
        <v>2.1430665454545455E-2</v>
      </c>
      <c r="X234" s="3">
        <f t="shared" si="12"/>
        <v>8.6740690909090909E-2</v>
      </c>
      <c r="Y234" s="4">
        <f t="shared" si="13"/>
        <v>-8.5455272727272737E-3</v>
      </c>
      <c r="Z234" s="4">
        <f t="shared" si="14"/>
        <v>0.1591026909090909</v>
      </c>
      <c r="AA234" s="47">
        <f t="shared" si="15"/>
        <v>-5.1340181818181811E-4</v>
      </c>
    </row>
    <row r="235" spans="1:27" x14ac:dyDescent="0.35">
      <c r="A235" s="83" t="s">
        <v>12</v>
      </c>
      <c r="B235" s="84" t="s">
        <v>12</v>
      </c>
      <c r="C235" s="91" t="str">
        <f t="shared" si="5"/>
        <v>NVR US EQUITY</v>
      </c>
      <c r="D235" s="85">
        <v>1.1505437893531768E-2</v>
      </c>
      <c r="E235" s="85">
        <v>0.98849456210646824</v>
      </c>
      <c r="F235" s="86">
        <f>_xlfn.XLOOKUP(Table225[[#This Row],[Ticker]],'R'!B:B,'R'!D:D,"not found")</f>
        <v>6390000000</v>
      </c>
      <c r="G235" s="87">
        <v>7.127643</v>
      </c>
      <c r="H235" s="92">
        <v>56.27514</v>
      </c>
      <c r="I235" s="105">
        <v>-30.534849999999999</v>
      </c>
      <c r="J235" s="105">
        <v>110.19889999999999</v>
      </c>
      <c r="K235" s="106">
        <v>1.582468</v>
      </c>
      <c r="N235" s="4">
        <f>'R'!E233</f>
        <v>7.3690947776297805E-4</v>
      </c>
      <c r="O235" s="66">
        <f t="shared" si="6"/>
        <v>5.2524276808109463E-3</v>
      </c>
      <c r="P235" s="3">
        <f t="shared" si="7"/>
        <v>4.146968402843848E-2</v>
      </c>
      <c r="Q235" s="4">
        <f t="shared" si="8"/>
        <v>-2.2501420367070868E-2</v>
      </c>
      <c r="R235" s="4">
        <f t="shared" si="9"/>
        <v>8.1206613849054643E-2</v>
      </c>
      <c r="S235" s="47">
        <f t="shared" si="10"/>
        <v>1.1661356674566243E-3</v>
      </c>
      <c r="V235" s="4">
        <f t="shared" si="4"/>
        <v>3.6363636363636364E-3</v>
      </c>
      <c r="W235" s="66">
        <f t="shared" si="11"/>
        <v>2.5918701818181816E-2</v>
      </c>
      <c r="X235" s="3">
        <f t="shared" si="12"/>
        <v>0.20463687272727274</v>
      </c>
      <c r="Y235" s="4">
        <f t="shared" si="13"/>
        <v>-0.11103581818181818</v>
      </c>
      <c r="Z235" s="4">
        <f t="shared" si="14"/>
        <v>0.40072327272727271</v>
      </c>
      <c r="AA235" s="47">
        <f t="shared" si="15"/>
        <v>5.7544290909090912E-3</v>
      </c>
    </row>
    <row r="236" spans="1:27" x14ac:dyDescent="0.35">
      <c r="A236" s="83" t="s">
        <v>371</v>
      </c>
      <c r="B236" s="84" t="s">
        <v>867</v>
      </c>
      <c r="C236" s="91" t="str">
        <f t="shared" si="5"/>
        <v>NXPI US EQUITY</v>
      </c>
      <c r="D236" s="85">
        <v>0.48835662009314706</v>
      </c>
      <c r="E236" s="85">
        <v>0.51164337990685294</v>
      </c>
      <c r="F236" s="86">
        <f>_xlfn.XLOOKUP(Table225[[#This Row],[Ticker]],'R'!B:B,'R'!D:D,"not found")</f>
        <v>28810000000</v>
      </c>
      <c r="G236" s="87">
        <v>26.556760000000001</v>
      </c>
      <c r="H236" s="92">
        <v>75.710130000000007</v>
      </c>
      <c r="I236" s="105">
        <v>-37.044870000000003</v>
      </c>
      <c r="J236" s="105">
        <v>19.467410000000001</v>
      </c>
      <c r="K236" s="106">
        <v>16.332339999999999</v>
      </c>
      <c r="N236" s="4">
        <f>'R'!E234</f>
        <v>3.3224353762678245E-3</v>
      </c>
      <c r="O236" s="66">
        <f t="shared" si="6"/>
        <v>8.8233118903054311E-2</v>
      </c>
      <c r="P236" s="3">
        <f t="shared" si="7"/>
        <v>0.25154201425383593</v>
      </c>
      <c r="Q236" s="4">
        <f t="shared" si="8"/>
        <v>-0.12307918659724265</v>
      </c>
      <c r="R236" s="4">
        <f t="shared" si="9"/>
        <v>6.4679211668310019E-2</v>
      </c>
      <c r="S236" s="47">
        <f t="shared" si="10"/>
        <v>5.4263144193234039E-2</v>
      </c>
      <c r="V236" s="4">
        <f t="shared" si="4"/>
        <v>3.6363636363636364E-3</v>
      </c>
      <c r="W236" s="66">
        <f t="shared" si="11"/>
        <v>9.6570036363636369E-2</v>
      </c>
      <c r="X236" s="3">
        <f t="shared" si="12"/>
        <v>0.27530956363636366</v>
      </c>
      <c r="Y236" s="4">
        <f t="shared" si="13"/>
        <v>-0.1347086181818182</v>
      </c>
      <c r="Z236" s="4">
        <f t="shared" si="14"/>
        <v>7.0790581818181819E-2</v>
      </c>
      <c r="AA236" s="47">
        <f t="shared" si="15"/>
        <v>5.9390327272727264E-2</v>
      </c>
    </row>
    <row r="237" spans="1:27" x14ac:dyDescent="0.35">
      <c r="A237" s="83" t="s">
        <v>193</v>
      </c>
      <c r="B237" s="84" t="s">
        <v>695</v>
      </c>
      <c r="C237" s="91" t="str">
        <f t="shared" si="5"/>
        <v>CCI US EQUITY</v>
      </c>
      <c r="D237" s="85">
        <v>0.37859666834931854</v>
      </c>
      <c r="E237" s="85">
        <v>0.62140333165068151</v>
      </c>
      <c r="F237" s="86">
        <f>_xlfn.XLOOKUP(Table225[[#This Row],[Ticker]],'R'!B:B,'R'!D:D,"not found")</f>
        <v>28850000000</v>
      </c>
      <c r="G237" s="87">
        <v>15.6083</v>
      </c>
      <c r="H237" s="92">
        <v>35.464500000000001</v>
      </c>
      <c r="I237" s="105">
        <v>1.7356039999999999</v>
      </c>
      <c r="J237" s="105">
        <v>32.925530000000002</v>
      </c>
      <c r="K237" s="106">
        <v>4.5006159999999999</v>
      </c>
      <c r="N237" s="4">
        <f>'R'!E235</f>
        <v>3.3270482681474049E-3</v>
      </c>
      <c r="O237" s="66">
        <f t="shared" si="6"/>
        <v>5.1929567483725139E-2</v>
      </c>
      <c r="P237" s="3">
        <f t="shared" si="7"/>
        <v>0.11799210330571365</v>
      </c>
      <c r="Q237" s="4">
        <f t="shared" si="8"/>
        <v>5.7744382823897086E-3</v>
      </c>
      <c r="R237" s="4">
        <f t="shared" si="9"/>
        <v>0.10954482756433544</v>
      </c>
      <c r="S237" s="47">
        <f t="shared" si="10"/>
        <v>1.4973766668396501E-2</v>
      </c>
      <c r="V237" s="4">
        <f t="shared" si="4"/>
        <v>3.6363636363636364E-3</v>
      </c>
      <c r="W237" s="66">
        <f t="shared" si="11"/>
        <v>5.6757454545454541E-2</v>
      </c>
      <c r="X237" s="3">
        <f t="shared" si="12"/>
        <v>0.12896181818181818</v>
      </c>
      <c r="Y237" s="4">
        <f t="shared" si="13"/>
        <v>6.3112872727272727E-3</v>
      </c>
      <c r="Z237" s="4">
        <f t="shared" si="14"/>
        <v>0.11972920000000001</v>
      </c>
      <c r="AA237" s="47">
        <f t="shared" si="15"/>
        <v>1.6365876363636362E-2</v>
      </c>
    </row>
    <row r="238" spans="1:27" x14ac:dyDescent="0.35">
      <c r="A238" s="83" t="s">
        <v>301</v>
      </c>
      <c r="B238" s="84" t="s">
        <v>798</v>
      </c>
      <c r="C238" s="91" t="str">
        <f t="shared" si="5"/>
        <v>JBHT US EQUITY</v>
      </c>
      <c r="D238" s="85">
        <v>0.34577286339553098</v>
      </c>
      <c r="E238" s="85">
        <v>0.65422713660446896</v>
      </c>
      <c r="F238" s="86">
        <f>_xlfn.XLOOKUP(Table225[[#This Row],[Ticker]],'R'!B:B,'R'!D:D,"not found")</f>
        <v>8359999999.999999</v>
      </c>
      <c r="G238" s="87">
        <v>18.103090000000002</v>
      </c>
      <c r="H238" s="92">
        <v>26.75863</v>
      </c>
      <c r="I238" s="105">
        <v>-18.407360000000001</v>
      </c>
      <c r="J238" s="105">
        <v>19.5962</v>
      </c>
      <c r="K238" s="106">
        <v>33.78998</v>
      </c>
      <c r="N238" s="4">
        <f>'R'!E236</f>
        <v>9.6409440283231555E-4</v>
      </c>
      <c r="O238" s="66">
        <f t="shared" si="6"/>
        <v>1.7453087742969664E-2</v>
      </c>
      <c r="P238" s="3">
        <f t="shared" si="7"/>
        <v>2.5797845410460884E-2</v>
      </c>
      <c r="Q238" s="4">
        <f t="shared" si="8"/>
        <v>-1.7746432746919453E-2</v>
      </c>
      <c r="R238" s="4">
        <f t="shared" si="9"/>
        <v>1.889258673678262E-2</v>
      </c>
      <c r="S238" s="47">
        <f t="shared" si="10"/>
        <v>3.2576730589815889E-2</v>
      </c>
      <c r="V238" s="4">
        <f t="shared" si="4"/>
        <v>3.6363636363636364E-3</v>
      </c>
      <c r="W238" s="66">
        <f t="shared" si="11"/>
        <v>6.5829418181818186E-2</v>
      </c>
      <c r="X238" s="3">
        <f t="shared" si="12"/>
        <v>9.7304109090909086E-2</v>
      </c>
      <c r="Y238" s="4">
        <f t="shared" si="13"/>
        <v>-6.6935854545454546E-2</v>
      </c>
      <c r="Z238" s="4">
        <f t="shared" si="14"/>
        <v>7.1258909090909095E-2</v>
      </c>
      <c r="AA238" s="47">
        <f t="shared" si="15"/>
        <v>0.12287265454545454</v>
      </c>
    </row>
    <row r="239" spans="1:27" x14ac:dyDescent="0.35">
      <c r="A239" s="83" t="s">
        <v>504</v>
      </c>
      <c r="B239" s="84" t="s">
        <v>988</v>
      </c>
      <c r="C239" s="91" t="str">
        <f t="shared" si="5"/>
        <v>GWW US EQUITY</v>
      </c>
      <c r="D239" s="85">
        <v>9.8158750813272605E-2</v>
      </c>
      <c r="E239" s="85">
        <v>0.90184124918672737</v>
      </c>
      <c r="F239" s="86">
        <f>_xlfn.XLOOKUP(Table225[[#This Row],[Ticker]],'R'!B:B,'R'!D:D,"not found")</f>
        <v>12570000000</v>
      </c>
      <c r="G239" s="87">
        <v>22.828749999999999</v>
      </c>
      <c r="H239" s="92">
        <v>22.276309999999999</v>
      </c>
      <c r="I239" s="105">
        <v>21.67052</v>
      </c>
      <c r="J239" s="105">
        <v>4.3684010000000004</v>
      </c>
      <c r="K239" s="106">
        <v>17.182289999999998</v>
      </c>
      <c r="N239" s="4">
        <f>'R'!E237</f>
        <v>1.4496012731581589E-3</v>
      </c>
      <c r="O239" s="66">
        <f t="shared" si="6"/>
        <v>3.3092585064609319E-2</v>
      </c>
      <c r="P239" s="3">
        <f t="shared" si="7"/>
        <v>3.2291767337265825E-2</v>
      </c>
      <c r="Q239" s="4">
        <f t="shared" si="8"/>
        <v>3.1413613381999342E-2</v>
      </c>
      <c r="R239" s="4">
        <f t="shared" si="9"/>
        <v>6.3324396512653746E-3</v>
      </c>
      <c r="S239" s="47">
        <f t="shared" si="10"/>
        <v>2.4907469459772701E-2</v>
      </c>
      <c r="V239" s="4">
        <f t="shared" si="4"/>
        <v>3.6363636363636364E-3</v>
      </c>
      <c r="W239" s="66">
        <f t="shared" si="11"/>
        <v>8.3013636363636359E-2</v>
      </c>
      <c r="X239" s="3">
        <f t="shared" si="12"/>
        <v>8.1004763636363636E-2</v>
      </c>
      <c r="Y239" s="4">
        <f t="shared" si="13"/>
        <v>7.8801890909090913E-2</v>
      </c>
      <c r="Z239" s="4">
        <f t="shared" si="14"/>
        <v>1.5885094545454548E-2</v>
      </c>
      <c r="AA239" s="47">
        <f t="shared" si="15"/>
        <v>6.2481054545454537E-2</v>
      </c>
    </row>
    <row r="240" spans="1:27" x14ac:dyDescent="0.35">
      <c r="A240" s="83" t="s">
        <v>447</v>
      </c>
      <c r="B240" s="84" t="s">
        <v>938</v>
      </c>
      <c r="C240" s="91" t="str">
        <f t="shared" si="5"/>
        <v>TFX US EQUITY</v>
      </c>
      <c r="D240" s="85">
        <v>0.41135802469135802</v>
      </c>
      <c r="E240" s="85">
        <v>0.58864197530864193</v>
      </c>
      <c r="F240" s="86">
        <f>_xlfn.XLOOKUP(Table225[[#This Row],[Ticker]],'R'!B:B,'R'!D:D,"not found")</f>
        <v>5470000000</v>
      </c>
      <c r="G240" s="87">
        <v>9.7563980000000008</v>
      </c>
      <c r="H240" s="92">
        <v>46.254539999999999</v>
      </c>
      <c r="I240" s="105">
        <v>4.4530630000000002</v>
      </c>
      <c r="J240" s="105">
        <v>55.405360000000002</v>
      </c>
      <c r="K240" s="106">
        <v>23.661539999999999</v>
      </c>
      <c r="N240" s="4">
        <f>'R'!E238</f>
        <v>6.3081296453262761E-4</v>
      </c>
      <c r="O240" s="66">
        <f t="shared" si="6"/>
        <v>6.1544623455401992E-3</v>
      </c>
      <c r="P240" s="3">
        <f t="shared" si="7"/>
        <v>2.9177963500493006E-2</v>
      </c>
      <c r="Q240" s="4">
        <f t="shared" si="8"/>
        <v>2.8090498722805565E-3</v>
      </c>
      <c r="R240" s="4">
        <f t="shared" si="9"/>
        <v>3.4950419392597465E-2</v>
      </c>
      <c r="S240" s="47">
        <f t="shared" si="10"/>
        <v>1.4926006192807349E-2</v>
      </c>
      <c r="V240" s="4">
        <f t="shared" si="4"/>
        <v>3.6363636363636364E-3</v>
      </c>
      <c r="W240" s="66">
        <f t="shared" si="11"/>
        <v>3.5477810909090912E-2</v>
      </c>
      <c r="X240" s="3">
        <f t="shared" si="12"/>
        <v>0.16819832727272727</v>
      </c>
      <c r="Y240" s="4">
        <f t="shared" si="13"/>
        <v>1.6192956363636365E-2</v>
      </c>
      <c r="Z240" s="4">
        <f t="shared" si="14"/>
        <v>0.20147403636363637</v>
      </c>
      <c r="AA240" s="47">
        <f t="shared" si="15"/>
        <v>8.6041963636363628E-2</v>
      </c>
    </row>
    <row r="241" spans="1:27" x14ac:dyDescent="0.35">
      <c r="A241" s="83" t="s">
        <v>385</v>
      </c>
      <c r="B241" s="84" t="s">
        <v>881</v>
      </c>
      <c r="C241" s="91" t="str">
        <f t="shared" si="5"/>
        <v>PNR US EQUITY</v>
      </c>
      <c r="D241" s="85">
        <v>0.1809930592632141</v>
      </c>
      <c r="E241" s="85">
        <v>0.81900694073678593</v>
      </c>
      <c r="F241" s="86">
        <f>_xlfn.XLOOKUP(Table225[[#This Row],[Ticker]],'R'!B:B,'R'!D:D,"not found")</f>
        <v>8940000000</v>
      </c>
      <c r="G241" s="87">
        <v>17.889949999999999</v>
      </c>
      <c r="H241" s="92">
        <v>23.696850000000001</v>
      </c>
      <c r="I241" s="105">
        <v>-18.867319999999999</v>
      </c>
      <c r="J241" s="105">
        <v>28.648109999999999</v>
      </c>
      <c r="K241" s="106">
        <v>15.989509999999999</v>
      </c>
      <c r="N241" s="4">
        <f>'R'!E239</f>
        <v>1.0309813350862322E-3</v>
      </c>
      <c r="O241" s="66">
        <f t="shared" si="6"/>
        <v>1.8444204535625938E-2</v>
      </c>
      <c r="P241" s="3">
        <f t="shared" si="7"/>
        <v>2.4431010050338185E-2</v>
      </c>
      <c r="Q241" s="4">
        <f t="shared" si="8"/>
        <v>-1.9451854763099172E-2</v>
      </c>
      <c r="R241" s="4">
        <f t="shared" si="9"/>
        <v>2.9535666695497238E-2</v>
      </c>
      <c r="S241" s="47">
        <f t="shared" si="10"/>
        <v>1.6484886367174659E-2</v>
      </c>
      <c r="V241" s="4">
        <f t="shared" si="4"/>
        <v>3.6363636363636364E-3</v>
      </c>
      <c r="W241" s="66">
        <f t="shared" si="11"/>
        <v>6.5054363636363632E-2</v>
      </c>
      <c r="X241" s="3">
        <f t="shared" si="12"/>
        <v>8.6170363636363642E-2</v>
      </c>
      <c r="Y241" s="4">
        <f t="shared" si="13"/>
        <v>-6.8608436363636366E-2</v>
      </c>
      <c r="Z241" s="4">
        <f t="shared" si="14"/>
        <v>0.10417494545454545</v>
      </c>
      <c r="AA241" s="47">
        <f t="shared" si="15"/>
        <v>5.8143672727272722E-2</v>
      </c>
    </row>
    <row r="242" spans="1:27" x14ac:dyDescent="0.35">
      <c r="A242" s="83" t="s">
        <v>476</v>
      </c>
      <c r="B242" s="84" t="s">
        <v>962</v>
      </c>
      <c r="C242" s="91" t="str">
        <f t="shared" si="5"/>
        <v>VRSN US EQUITY</v>
      </c>
      <c r="D242" s="85">
        <v>0.4723287671232877</v>
      </c>
      <c r="E242" s="85">
        <v>0.52767123287671236</v>
      </c>
      <c r="F242" s="86">
        <f>_xlfn.XLOOKUP(Table225[[#This Row],[Ticker]],'R'!B:B,'R'!D:D,"not found")</f>
        <v>9620000000</v>
      </c>
      <c r="G242" s="87">
        <v>12.31058</v>
      </c>
      <c r="H242" s="92">
        <v>29.934609999999999</v>
      </c>
      <c r="I242" s="105">
        <v>29.57883</v>
      </c>
      <c r="J242" s="105">
        <v>50.440399999999997</v>
      </c>
      <c r="K242" s="106">
        <v>-12.92353</v>
      </c>
      <c r="N242" s="4">
        <f>'R'!E240</f>
        <v>1.1094004970391E-3</v>
      </c>
      <c r="O242" s="66">
        <f t="shared" si="6"/>
        <v>1.3657363570839604E-2</v>
      </c>
      <c r="P242" s="3">
        <f t="shared" si="7"/>
        <v>3.3209471212671614E-2</v>
      </c>
      <c r="Q242" s="4">
        <f t="shared" si="8"/>
        <v>3.281476870383504E-2</v>
      </c>
      <c r="R242" s="4">
        <f t="shared" si="9"/>
        <v>5.5958604830851015E-2</v>
      </c>
      <c r="S242" s="47">
        <f t="shared" si="10"/>
        <v>-1.4337370605499718E-2</v>
      </c>
      <c r="V242" s="4">
        <f t="shared" si="4"/>
        <v>3.6363636363636364E-3</v>
      </c>
      <c r="W242" s="66">
        <f t="shared" si="11"/>
        <v>4.4765745454545453E-2</v>
      </c>
      <c r="X242" s="3">
        <f t="shared" si="12"/>
        <v>0.10885312727272727</v>
      </c>
      <c r="Y242" s="4">
        <f t="shared" si="13"/>
        <v>0.10755938181818182</v>
      </c>
      <c r="Z242" s="4">
        <f t="shared" si="14"/>
        <v>0.18341963636363634</v>
      </c>
      <c r="AA242" s="47">
        <f t="shared" si="15"/>
        <v>-4.6994654545454546E-2</v>
      </c>
    </row>
    <row r="243" spans="1:27" x14ac:dyDescent="0.35">
      <c r="A243" s="83" t="s">
        <v>13</v>
      </c>
      <c r="B243" s="84" t="s">
        <v>524</v>
      </c>
      <c r="C243" s="91" t="str">
        <f t="shared" si="5"/>
        <v>MPWR US EQUITY</v>
      </c>
      <c r="D243" s="85">
        <v>0.29136558889147879</v>
      </c>
      <c r="E243" s="85">
        <v>0.70863441110852121</v>
      </c>
      <c r="F243" s="86">
        <f>_xlfn.XLOOKUP(Table225[[#This Row],[Ticker]],'R'!B:B,'R'!D:D,"not found")</f>
        <v>2530000000</v>
      </c>
      <c r="G243" s="87">
        <v>107.4564</v>
      </c>
      <c r="H243" s="92">
        <v>54.793930000000003</v>
      </c>
      <c r="I243" s="105">
        <v>4.4863099999999996</v>
      </c>
      <c r="J243" s="105">
        <v>38.219929999999998</v>
      </c>
      <c r="K243" s="106">
        <v>30.04053</v>
      </c>
      <c r="N243" s="4">
        <f>'R'!E241</f>
        <v>2.9176541138346395E-4</v>
      </c>
      <c r="O243" s="66">
        <f t="shared" si="6"/>
        <v>3.1352060751786058E-2</v>
      </c>
      <c r="P243" s="3">
        <f t="shared" si="7"/>
        <v>1.5986973527766728E-2</v>
      </c>
      <c r="Q243" s="4">
        <f t="shared" si="8"/>
        <v>1.308950082743748E-3</v>
      </c>
      <c r="R243" s="4">
        <f t="shared" si="9"/>
        <v>1.1151253599497195E-2</v>
      </c>
      <c r="S243" s="47">
        <f t="shared" si="10"/>
        <v>8.764787593627291E-3</v>
      </c>
      <c r="V243" s="4">
        <f t="shared" si="4"/>
        <v>3.6363636363636364E-3</v>
      </c>
      <c r="W243" s="66">
        <f t="shared" si="11"/>
        <v>0.39075054545454546</v>
      </c>
      <c r="X243" s="3">
        <f t="shared" si="12"/>
        <v>0.19925065454545457</v>
      </c>
      <c r="Y243" s="4">
        <f t="shared" si="13"/>
        <v>1.6313854545454545E-2</v>
      </c>
      <c r="Z243" s="4">
        <f t="shared" si="14"/>
        <v>0.13898156363636363</v>
      </c>
      <c r="AA243" s="47">
        <f t="shared" si="15"/>
        <v>0.10923829090909092</v>
      </c>
    </row>
    <row r="244" spans="1:27" x14ac:dyDescent="0.35">
      <c r="A244" s="83" t="s">
        <v>14</v>
      </c>
      <c r="B244" s="84" t="s">
        <v>525</v>
      </c>
      <c r="C244" s="91" t="str">
        <f t="shared" si="5"/>
        <v>PRGO US EQUITY</v>
      </c>
      <c r="D244" s="85">
        <v>0.29102268990463664</v>
      </c>
      <c r="E244" s="85">
        <v>0.70897731009536336</v>
      </c>
      <c r="F244" s="86">
        <f>_xlfn.XLOOKUP(Table225[[#This Row],[Ticker]],'R'!B:B,'R'!D:D,"not found")</f>
        <v>20710000000</v>
      </c>
      <c r="G244" s="87">
        <v>-11.916169999999999</v>
      </c>
      <c r="H244" s="92">
        <v>35.64799</v>
      </c>
      <c r="I244" s="105">
        <v>-55.075150000000001</v>
      </c>
      <c r="J244" s="105">
        <v>5.5895210000000004</v>
      </c>
      <c r="K244" s="106">
        <v>-42.137790000000003</v>
      </c>
      <c r="N244" s="4">
        <f>'R'!E242</f>
        <v>2.3883247706527819E-3</v>
      </c>
      <c r="O244" s="66">
        <f t="shared" si="6"/>
        <v>-2.845968398230956E-2</v>
      </c>
      <c r="P244" s="3">
        <f t="shared" si="7"/>
        <v>8.5138977540982666E-2</v>
      </c>
      <c r="Q244" s="4">
        <f t="shared" si="8"/>
        <v>-0.13153734499241757</v>
      </c>
      <c r="R244" s="4">
        <f t="shared" si="9"/>
        <v>1.3349591460383909E-2</v>
      </c>
      <c r="S244" s="47">
        <f t="shared" si="10"/>
        <v>-0.1006387276375651</v>
      </c>
      <c r="V244" s="4">
        <f t="shared" si="4"/>
        <v>3.6363636363636364E-3</v>
      </c>
      <c r="W244" s="66">
        <f t="shared" si="11"/>
        <v>-4.3331527272727273E-2</v>
      </c>
      <c r="X244" s="3">
        <f t="shared" si="12"/>
        <v>0.12962905454545454</v>
      </c>
      <c r="Y244" s="4">
        <f t="shared" si="13"/>
        <v>-0.20027327272727272</v>
      </c>
      <c r="Z244" s="4">
        <f t="shared" si="14"/>
        <v>2.0325530909090912E-2</v>
      </c>
      <c r="AA244" s="47">
        <f t="shared" si="15"/>
        <v>-0.15322832727272728</v>
      </c>
    </row>
    <row r="245" spans="1:27" x14ac:dyDescent="0.35">
      <c r="A245" s="83" t="s">
        <v>405</v>
      </c>
      <c r="B245" s="84" t="s">
        <v>900</v>
      </c>
      <c r="C245" s="91" t="str">
        <f t="shared" si="5"/>
        <v>PWR US EQUITY</v>
      </c>
      <c r="D245" s="85">
        <v>0.21278011981362324</v>
      </c>
      <c r="E245" s="85">
        <v>0.78721988018637679</v>
      </c>
      <c r="F245" s="86">
        <f>_xlfn.XLOOKUP(Table225[[#This Row],[Ticker]],'R'!B:B,'R'!D:D,"not found")</f>
        <v>3100000000</v>
      </c>
      <c r="G245" s="87">
        <v>77.740930000000006</v>
      </c>
      <c r="H245" s="92">
        <v>35.83934</v>
      </c>
      <c r="I245" s="105">
        <v>-22.935310000000001</v>
      </c>
      <c r="J245" s="105">
        <v>12.22382</v>
      </c>
      <c r="K245" s="106">
        <v>72.098780000000005</v>
      </c>
      <c r="N245" s="4">
        <f>'R'!E243</f>
        <v>3.5749912066748544E-4</v>
      </c>
      <c r="O245" s="66">
        <f t="shared" si="6"/>
        <v>2.7792314114872541E-2</v>
      </c>
      <c r="P245" s="3">
        <f t="shared" si="7"/>
        <v>1.2812532535303038E-2</v>
      </c>
      <c r="Q245" s="4">
        <f t="shared" si="8"/>
        <v>-8.1993531572361854E-3</v>
      </c>
      <c r="R245" s="4">
        <f t="shared" si="9"/>
        <v>4.370004901197622E-3</v>
      </c>
      <c r="S245" s="47">
        <f t="shared" si="10"/>
        <v>2.5775250451198488E-2</v>
      </c>
      <c r="V245" s="4">
        <f t="shared" si="4"/>
        <v>3.6363636363636364E-3</v>
      </c>
      <c r="W245" s="66">
        <f t="shared" si="11"/>
        <v>0.28269429090909093</v>
      </c>
      <c r="X245" s="3">
        <f t="shared" si="12"/>
        <v>0.13032487272727272</v>
      </c>
      <c r="Y245" s="4">
        <f t="shared" si="13"/>
        <v>-8.3401127272727277E-2</v>
      </c>
      <c r="Z245" s="4">
        <f t="shared" si="14"/>
        <v>4.4450254545454544E-2</v>
      </c>
      <c r="AA245" s="47">
        <f t="shared" si="15"/>
        <v>0.26217738181818184</v>
      </c>
    </row>
    <row r="246" spans="1:27" x14ac:dyDescent="0.35">
      <c r="A246" s="83" t="s">
        <v>225</v>
      </c>
      <c r="B246" s="84" t="s">
        <v>726</v>
      </c>
      <c r="C246" s="91" t="str">
        <f t="shared" si="5"/>
        <v>EOG US EQUITY</v>
      </c>
      <c r="D246" s="85">
        <v>7.9146269825729393E-2</v>
      </c>
      <c r="E246" s="85">
        <v>0.92085373017427063</v>
      </c>
      <c r="F246" s="86">
        <f>_xlfn.XLOOKUP(Table225[[#This Row],[Ticker]],'R'!B:B,'R'!D:D,"not found")</f>
        <v>38920000000</v>
      </c>
      <c r="G246" s="87">
        <v>-38.631270000000001</v>
      </c>
      <c r="H246" s="92">
        <v>-2.8075459999999999</v>
      </c>
      <c r="I246" s="105">
        <v>-18.661919999999999</v>
      </c>
      <c r="J246" s="105">
        <v>7.4687599999999996</v>
      </c>
      <c r="K246" s="106">
        <v>44.036790000000003</v>
      </c>
      <c r="N246" s="4">
        <f>'R'!E244</f>
        <v>4.4883437988317851E-3</v>
      </c>
      <c r="O246" s="66">
        <f t="shared" si="6"/>
        <v>-0.17339042114549638</v>
      </c>
      <c r="P246" s="3">
        <f t="shared" si="7"/>
        <v>-1.2601231679034982E-2</v>
      </c>
      <c r="Q246" s="4">
        <f t="shared" si="8"/>
        <v>-8.3761112906294857E-2</v>
      </c>
      <c r="R246" s="4">
        <f t="shared" si="9"/>
        <v>3.3522362630962879E-2</v>
      </c>
      <c r="S246" s="47">
        <f t="shared" si="10"/>
        <v>0.19765225331695757</v>
      </c>
      <c r="V246" s="4">
        <f t="shared" si="4"/>
        <v>3.6363636363636364E-3</v>
      </c>
      <c r="W246" s="66">
        <f t="shared" si="11"/>
        <v>-0.14047734545454546</v>
      </c>
      <c r="X246" s="3">
        <f t="shared" si="12"/>
        <v>-1.0209258181818181E-2</v>
      </c>
      <c r="Y246" s="4">
        <f t="shared" si="13"/>
        <v>-6.7861527272727262E-2</v>
      </c>
      <c r="Z246" s="4">
        <f t="shared" si="14"/>
        <v>2.7159127272727273E-2</v>
      </c>
      <c r="AA246" s="47">
        <f t="shared" si="15"/>
        <v>0.16013378181818183</v>
      </c>
    </row>
    <row r="247" spans="1:27" x14ac:dyDescent="0.35">
      <c r="A247" s="83" t="s">
        <v>212</v>
      </c>
      <c r="B247" s="84" t="s">
        <v>714</v>
      </c>
      <c r="C247" s="91" t="str">
        <f t="shared" si="5"/>
        <v>DRE US EQUITY</v>
      </c>
      <c r="D247" s="85">
        <v>0.22056631892697467</v>
      </c>
      <c r="E247" s="85">
        <v>0.77943368107302535</v>
      </c>
      <c r="F247" s="86">
        <f>_xlfn.XLOOKUP(Table225[[#This Row],[Ticker]],'R'!B:B,'R'!D:D,"not found")</f>
        <v>7260000000</v>
      </c>
      <c r="G247" s="87">
        <v>18.349499999999999</v>
      </c>
      <c r="H247" s="92">
        <v>37.59657</v>
      </c>
      <c r="I247" s="105">
        <v>-1.967454</v>
      </c>
      <c r="J247" s="105">
        <v>8.5279100000000003</v>
      </c>
      <c r="K247" s="106">
        <v>30.410679999999999</v>
      </c>
      <c r="N247" s="4">
        <f>'R'!E245</f>
        <v>8.3723987614385304E-4</v>
      </c>
      <c r="O247" s="66">
        <f t="shared" si="6"/>
        <v>1.536293310730163E-2</v>
      </c>
      <c r="P247" s="3">
        <f t="shared" si="7"/>
        <v>3.14773476102337E-2</v>
      </c>
      <c r="Q247" s="4">
        <f t="shared" si="8"/>
        <v>-1.6472309432787283E-3</v>
      </c>
      <c r="R247" s="4">
        <f t="shared" si="9"/>
        <v>7.1399063121659256E-3</v>
      </c>
      <c r="S247" s="47">
        <f t="shared" si="10"/>
        <v>2.5461033956650347E-2</v>
      </c>
      <c r="V247" s="4">
        <f t="shared" si="4"/>
        <v>3.6363636363636364E-3</v>
      </c>
      <c r="W247" s="66">
        <f t="shared" si="11"/>
        <v>6.6725454545454546E-2</v>
      </c>
      <c r="X247" s="3">
        <f t="shared" si="12"/>
        <v>0.1367148</v>
      </c>
      <c r="Y247" s="4">
        <f t="shared" si="13"/>
        <v>-7.1543781818181823E-3</v>
      </c>
      <c r="Z247" s="4">
        <f t="shared" si="14"/>
        <v>3.101058181818182E-2</v>
      </c>
      <c r="AA247" s="47">
        <f t="shared" si="15"/>
        <v>0.1105842909090909</v>
      </c>
    </row>
    <row r="248" spans="1:27" x14ac:dyDescent="0.35">
      <c r="A248" s="83" t="s">
        <v>16</v>
      </c>
      <c r="B248" s="84" t="s">
        <v>527</v>
      </c>
      <c r="C248" s="91" t="str">
        <f t="shared" si="5"/>
        <v>ITW US EQUITY</v>
      </c>
      <c r="D248" s="85">
        <v>5.3818580105546153E-2</v>
      </c>
      <c r="E248" s="85">
        <v>0.94618141989445381</v>
      </c>
      <c r="F248" s="86">
        <f>_xlfn.XLOOKUP(Table225[[#This Row],[Ticker]],'R'!B:B,'R'!D:D,"not found")</f>
        <v>33710000000</v>
      </c>
      <c r="G248" s="87">
        <v>16.40192</v>
      </c>
      <c r="H248" s="92">
        <v>45.59075</v>
      </c>
      <c r="I248" s="105">
        <v>-22.09477</v>
      </c>
      <c r="J248" s="105">
        <v>38.915120000000002</v>
      </c>
      <c r="K248" s="106">
        <v>35.010770000000001</v>
      </c>
      <c r="N248" s="4">
        <f>'R'!E246</f>
        <v>3.8875146315164306E-3</v>
      </c>
      <c r="O248" s="66">
        <f t="shared" si="6"/>
        <v>6.3762703984961977E-2</v>
      </c>
      <c r="P248" s="3">
        <f t="shared" si="7"/>
        <v>0.17723470768680771</v>
      </c>
      <c r="Q248" s="4">
        <f t="shared" si="8"/>
        <v>-8.5893741654990294E-2</v>
      </c>
      <c r="R248" s="4">
        <f t="shared" si="9"/>
        <v>0.15128309838721768</v>
      </c>
      <c r="S248" s="47">
        <f t="shared" si="10"/>
        <v>0.13610488063565651</v>
      </c>
      <c r="V248" s="4">
        <f t="shared" si="4"/>
        <v>3.6363636363636364E-3</v>
      </c>
      <c r="W248" s="66">
        <f t="shared" si="11"/>
        <v>5.9643345454545457E-2</v>
      </c>
      <c r="X248" s="3">
        <f t="shared" si="12"/>
        <v>0.16578454545454546</v>
      </c>
      <c r="Y248" s="4">
        <f t="shared" si="13"/>
        <v>-8.0344618181818178E-2</v>
      </c>
      <c r="Z248" s="4">
        <f t="shared" si="14"/>
        <v>0.14150952727272728</v>
      </c>
      <c r="AA248" s="47">
        <f t="shared" si="15"/>
        <v>0.12731189090909092</v>
      </c>
    </row>
    <row r="249" spans="1:27" x14ac:dyDescent="0.35">
      <c r="A249" s="83" t="s">
        <v>83</v>
      </c>
      <c r="B249" s="84" t="s">
        <v>587</v>
      </c>
      <c r="C249" s="91" t="str">
        <f t="shared" si="5"/>
        <v>AAP US EQUITY</v>
      </c>
      <c r="D249" s="85">
        <v>0.20651242502142245</v>
      </c>
      <c r="E249" s="85">
        <v>0.79348757497857758</v>
      </c>
      <c r="F249" s="86">
        <f>_xlfn.XLOOKUP(Table225[[#This Row],[Ticker]],'R'!B:B,'R'!D:D,"not found")</f>
        <v>11020000000</v>
      </c>
      <c r="G249" s="87">
        <v>-0.88778140000000005</v>
      </c>
      <c r="H249" s="92">
        <v>1.869667</v>
      </c>
      <c r="I249" s="105">
        <v>58.220610000000001</v>
      </c>
      <c r="J249" s="105">
        <v>-40.927689999999998</v>
      </c>
      <c r="K249" s="106">
        <v>12.53595</v>
      </c>
      <c r="N249" s="4">
        <f>'R'!E247</f>
        <v>1.270851712824416E-3</v>
      </c>
      <c r="O249" s="66">
        <f t="shared" si="6"/>
        <v>-1.128238512803658E-3</v>
      </c>
      <c r="P249" s="3">
        <f t="shared" si="7"/>
        <v>2.3760695093612873E-3</v>
      </c>
      <c r="Q249" s="4">
        <f t="shared" si="8"/>
        <v>7.3989761940182322E-2</v>
      </c>
      <c r="R249" s="4">
        <f t="shared" si="9"/>
        <v>-5.2013024938446721E-2</v>
      </c>
      <c r="S249" s="47">
        <f t="shared" si="10"/>
        <v>1.5931333529381236E-2</v>
      </c>
      <c r="V249" s="4">
        <f t="shared" si="4"/>
        <v>3.6363636363636364E-3</v>
      </c>
      <c r="W249" s="66">
        <f t="shared" si="11"/>
        <v>-3.2282960000000003E-3</v>
      </c>
      <c r="X249" s="3">
        <f t="shared" si="12"/>
        <v>6.7987890909090905E-3</v>
      </c>
      <c r="Y249" s="4">
        <f t="shared" si="13"/>
        <v>0.2117113090909091</v>
      </c>
      <c r="Z249" s="4">
        <f t="shared" si="14"/>
        <v>-0.14882796363636364</v>
      </c>
      <c r="AA249" s="47">
        <f t="shared" si="15"/>
        <v>4.5585272727272724E-2</v>
      </c>
    </row>
    <row r="250" spans="1:27" x14ac:dyDescent="0.35">
      <c r="A250" s="83" t="s">
        <v>20</v>
      </c>
      <c r="B250" s="84" t="s">
        <v>531</v>
      </c>
      <c r="C250" s="91" t="str">
        <f t="shared" si="5"/>
        <v>DHI US EQUITY</v>
      </c>
      <c r="D250" s="85">
        <v>0.36233951497860201</v>
      </c>
      <c r="E250" s="85">
        <v>0.63766048502139805</v>
      </c>
      <c r="F250" s="86">
        <f>_xlfn.XLOOKUP(Table225[[#This Row],[Ticker]],'R'!B:B,'R'!D:D,"not found")</f>
        <v>11840000000</v>
      </c>
      <c r="G250" s="87">
        <v>32.190899999999999</v>
      </c>
      <c r="H250" s="92">
        <v>54.297490000000003</v>
      </c>
      <c r="I250" s="105">
        <v>-31.267440000000001</v>
      </c>
      <c r="J250" s="105">
        <v>89.051670000000001</v>
      </c>
      <c r="K250" s="106">
        <v>-13.66056</v>
      </c>
      <c r="N250" s="4">
        <f>'R'!E248</f>
        <v>1.3654159963558154E-3</v>
      </c>
      <c r="O250" s="66">
        <f t="shared" si="6"/>
        <v>4.3953969797090417E-2</v>
      </c>
      <c r="P250" s="3">
        <f t="shared" si="7"/>
        <v>7.413866140796993E-2</v>
      </c>
      <c r="Q250" s="4">
        <f t="shared" si="8"/>
        <v>-4.2693062741095675E-2</v>
      </c>
      <c r="R250" s="4">
        <f t="shared" si="9"/>
        <v>0.12159257472019927</v>
      </c>
      <c r="S250" s="47">
        <f t="shared" si="10"/>
        <v>-1.8652347143178399E-2</v>
      </c>
      <c r="V250" s="4">
        <f t="shared" si="4"/>
        <v>3.6363636363636364E-3</v>
      </c>
      <c r="W250" s="66">
        <f t="shared" si="11"/>
        <v>0.11705781818181818</v>
      </c>
      <c r="X250" s="3">
        <f t="shared" si="12"/>
        <v>0.19744541818181818</v>
      </c>
      <c r="Y250" s="4">
        <f t="shared" si="13"/>
        <v>-0.11369978181818181</v>
      </c>
      <c r="Z250" s="4">
        <f t="shared" si="14"/>
        <v>0.32382425454545455</v>
      </c>
      <c r="AA250" s="47">
        <f t="shared" si="15"/>
        <v>-4.9674763636363639E-2</v>
      </c>
    </row>
    <row r="251" spans="1:27" x14ac:dyDescent="0.35">
      <c r="A251" s="83" t="s">
        <v>414</v>
      </c>
      <c r="B251" s="84" t="s">
        <v>909</v>
      </c>
      <c r="C251" s="91" t="str">
        <f t="shared" si="5"/>
        <v>ROK US EQUITY</v>
      </c>
      <c r="D251" s="85">
        <v>0.12216216216216216</v>
      </c>
      <c r="E251" s="85">
        <v>0.87783783783783786</v>
      </c>
      <c r="F251" s="86">
        <f>_xlfn.XLOOKUP(Table225[[#This Row],[Ticker]],'R'!B:B,'R'!D:D,"not found")</f>
        <v>13490000000</v>
      </c>
      <c r="G251" s="87">
        <v>26.132989999999999</v>
      </c>
      <c r="H251" s="92">
        <v>37.854810000000001</v>
      </c>
      <c r="I251" s="105">
        <v>-21.769549999999999</v>
      </c>
      <c r="J251" s="105">
        <v>48.869979999999998</v>
      </c>
      <c r="K251" s="106">
        <v>34.44088</v>
      </c>
      <c r="N251" s="4">
        <f>'R'!E249</f>
        <v>1.5556977863885092E-3</v>
      </c>
      <c r="O251" s="66">
        <f t="shared" si="6"/>
        <v>4.0655034694713044E-2</v>
      </c>
      <c r="P251" s="3">
        <f t="shared" si="7"/>
        <v>5.8890644121157604E-2</v>
      </c>
      <c r="Q251" s="4">
        <f t="shared" si="8"/>
        <v>-3.3866840745673969E-2</v>
      </c>
      <c r="R251" s="4">
        <f t="shared" si="9"/>
        <v>7.6026919706850715E-2</v>
      </c>
      <c r="S251" s="47">
        <f t="shared" si="10"/>
        <v>5.3579600777272279E-2</v>
      </c>
      <c r="V251" s="4">
        <f t="shared" si="4"/>
        <v>3.6363636363636364E-3</v>
      </c>
      <c r="W251" s="66">
        <f t="shared" si="11"/>
        <v>9.5029054545454544E-2</v>
      </c>
      <c r="X251" s="3">
        <f t="shared" si="12"/>
        <v>0.13765385454545453</v>
      </c>
      <c r="Y251" s="4">
        <f t="shared" si="13"/>
        <v>-7.9161999999999996E-2</v>
      </c>
      <c r="Z251" s="4">
        <f t="shared" si="14"/>
        <v>0.17770901818181817</v>
      </c>
      <c r="AA251" s="47">
        <f t="shared" si="15"/>
        <v>0.12523956363636363</v>
      </c>
    </row>
    <row r="252" spans="1:27" x14ac:dyDescent="0.35">
      <c r="A252" s="83" t="s">
        <v>477</v>
      </c>
      <c r="B252" s="84" t="s">
        <v>963</v>
      </c>
      <c r="C252" s="91" t="str">
        <f t="shared" si="5"/>
        <v>VRSK US EQUITY</v>
      </c>
      <c r="D252" s="85">
        <v>0.17736263736263735</v>
      </c>
      <c r="E252" s="85">
        <v>0.82263736263736265</v>
      </c>
      <c r="F252" s="86">
        <f>_xlfn.XLOOKUP(Table225[[#This Row],[Ticker]],'R'!B:B,'R'!D:D,"not found")</f>
        <v>13030000000</v>
      </c>
      <c r="G252" s="87">
        <v>39.902380000000001</v>
      </c>
      <c r="H252" s="92">
        <v>37.913980000000002</v>
      </c>
      <c r="I252" s="105">
        <v>13.58333</v>
      </c>
      <c r="J252" s="105">
        <v>18.270299999999999</v>
      </c>
      <c r="K252" s="106">
        <v>5.5801509999999999</v>
      </c>
      <c r="N252" s="4">
        <f>'R'!E250</f>
        <v>1.5026495297733339E-3</v>
      </c>
      <c r="O252" s="66">
        <f t="shared" si="6"/>
        <v>5.9959292543836883E-2</v>
      </c>
      <c r="P252" s="3">
        <f t="shared" si="7"/>
        <v>5.6971424218835588E-2</v>
      </c>
      <c r="Q252" s="4">
        <f t="shared" si="8"/>
        <v>2.041098443725602E-2</v>
      </c>
      <c r="R252" s="4">
        <f t="shared" si="9"/>
        <v>2.7453857703817742E-2</v>
      </c>
      <c r="S252" s="47">
        <f t="shared" si="10"/>
        <v>8.3850112762141986E-3</v>
      </c>
      <c r="V252" s="4">
        <f t="shared" si="4"/>
        <v>3.6363636363636364E-3</v>
      </c>
      <c r="W252" s="66">
        <f t="shared" si="11"/>
        <v>0.14509956363636364</v>
      </c>
      <c r="X252" s="3">
        <f t="shared" si="12"/>
        <v>0.13786901818181818</v>
      </c>
      <c r="Y252" s="4">
        <f t="shared" si="13"/>
        <v>4.9393927272727275E-2</v>
      </c>
      <c r="Z252" s="4">
        <f t="shared" si="14"/>
        <v>6.6437454545454536E-2</v>
      </c>
      <c r="AA252" s="47">
        <f t="shared" si="15"/>
        <v>2.029145818181818E-2</v>
      </c>
    </row>
    <row r="253" spans="1:27" x14ac:dyDescent="0.35">
      <c r="A253" s="83" t="s">
        <v>205</v>
      </c>
      <c r="B253" s="84" t="s">
        <v>707</v>
      </c>
      <c r="C253" s="91" t="str">
        <f t="shared" si="5"/>
        <v>DLR US EQUITY</v>
      </c>
      <c r="D253" s="85">
        <v>0.48832394366197185</v>
      </c>
      <c r="E253" s="85">
        <v>0.51167605633802815</v>
      </c>
      <c r="F253" s="86">
        <f>_xlfn.XLOOKUP(Table225[[#This Row],[Ticker]],'R'!B:B,'R'!D:D,"not found")</f>
        <v>11070000000</v>
      </c>
      <c r="G253" s="87">
        <v>20.45965</v>
      </c>
      <c r="H253" s="92">
        <v>16.525259999999999</v>
      </c>
      <c r="I253" s="105">
        <v>-3.0360520000000002</v>
      </c>
      <c r="J253" s="105">
        <v>19.770160000000001</v>
      </c>
      <c r="K253" s="106">
        <v>34.89723</v>
      </c>
      <c r="N253" s="4">
        <f>'R'!E251</f>
        <v>1.2766178276738915E-3</v>
      </c>
      <c r="O253" s="66">
        <f t="shared" si="6"/>
        <v>2.6119153937968133E-2</v>
      </c>
      <c r="P253" s="3">
        <f t="shared" si="7"/>
        <v>2.1096441522946253E-2</v>
      </c>
      <c r="Q253" s="4">
        <f t="shared" si="8"/>
        <v>-3.8758781089449738E-3</v>
      </c>
      <c r="R253" s="4">
        <f t="shared" si="9"/>
        <v>2.5238938711965263E-2</v>
      </c>
      <c r="S253" s="47">
        <f t="shared" si="10"/>
        <v>4.455042595443616E-2</v>
      </c>
      <c r="V253" s="4">
        <f t="shared" si="4"/>
        <v>3.6363636363636364E-3</v>
      </c>
      <c r="W253" s="66">
        <f t="shared" si="11"/>
        <v>7.4398727272727269E-2</v>
      </c>
      <c r="X253" s="3">
        <f t="shared" si="12"/>
        <v>6.0091854545454543E-2</v>
      </c>
      <c r="Y253" s="4">
        <f t="shared" si="13"/>
        <v>-1.1040189090909092E-2</v>
      </c>
      <c r="Z253" s="4">
        <f t="shared" si="14"/>
        <v>7.1891490909090916E-2</v>
      </c>
      <c r="AA253" s="47">
        <f t="shared" si="15"/>
        <v>0.12689901818181817</v>
      </c>
    </row>
    <row r="254" spans="1:27" x14ac:dyDescent="0.35">
      <c r="A254" s="83" t="s">
        <v>210</v>
      </c>
      <c r="B254" s="84" t="s">
        <v>712</v>
      </c>
      <c r="C254" s="91" t="str">
        <f t="shared" si="5"/>
        <v>DPZ US EQUITY</v>
      </c>
      <c r="D254" s="85">
        <v>0.1917440946701798</v>
      </c>
      <c r="E254" s="85">
        <v>0.80825590532982017</v>
      </c>
      <c r="F254" s="86">
        <f>_xlfn.XLOOKUP(Table225[[#This Row],[Ticker]],'R'!B:B,'R'!D:D,"not found")</f>
        <v>6080000000</v>
      </c>
      <c r="G254" s="87">
        <v>31.647839999999999</v>
      </c>
      <c r="H254" s="92">
        <v>19.625450000000001</v>
      </c>
      <c r="I254" s="105">
        <v>32.367220000000003</v>
      </c>
      <c r="J254" s="105">
        <v>19.808440000000001</v>
      </c>
      <c r="K254" s="106">
        <v>44.69162</v>
      </c>
      <c r="N254" s="4">
        <f>'R'!E252</f>
        <v>7.0115956569622958E-4</v>
      </c>
      <c r="O254" s="66">
        <f t="shared" si="6"/>
        <v>2.219018574962376E-2</v>
      </c>
      <c r="P254" s="3">
        <f t="shared" si="7"/>
        <v>1.3760571998593069E-2</v>
      </c>
      <c r="Q254" s="4">
        <f t="shared" si="8"/>
        <v>2.2694585917994319E-2</v>
      </c>
      <c r="R254" s="4">
        <f t="shared" si="9"/>
        <v>1.3888877187519822E-2</v>
      </c>
      <c r="S254" s="47">
        <f t="shared" si="10"/>
        <v>3.1335956869460925E-2</v>
      </c>
      <c r="V254" s="4">
        <f t="shared" si="4"/>
        <v>3.6363636363636364E-3</v>
      </c>
      <c r="W254" s="66">
        <f t="shared" si="11"/>
        <v>0.11508305454545455</v>
      </c>
      <c r="X254" s="3">
        <f t="shared" si="12"/>
        <v>7.1365272727272736E-2</v>
      </c>
      <c r="Y254" s="4">
        <f t="shared" si="13"/>
        <v>0.11769898181818184</v>
      </c>
      <c r="Z254" s="4">
        <f t="shared" si="14"/>
        <v>7.2030690909090908E-2</v>
      </c>
      <c r="AA254" s="47">
        <f t="shared" si="15"/>
        <v>0.16251498181818183</v>
      </c>
    </row>
    <row r="255" spans="1:27" x14ac:dyDescent="0.35">
      <c r="A255" s="83" t="s">
        <v>344</v>
      </c>
      <c r="B255" s="84" t="s">
        <v>841</v>
      </c>
      <c r="C255" s="91" t="str">
        <f t="shared" si="5"/>
        <v>MCHP US EQUITY</v>
      </c>
      <c r="D255" s="85">
        <v>0.28561022448844448</v>
      </c>
      <c r="E255" s="85">
        <v>0.71438977551155558</v>
      </c>
      <c r="F255" s="86">
        <f>_xlfn.XLOOKUP(Table225[[#This Row],[Ticker]],'R'!B:B,'R'!D:D,"not found")</f>
        <v>9470000000</v>
      </c>
      <c r="G255" s="87">
        <v>33.716659999999997</v>
      </c>
      <c r="H255" s="92">
        <v>48.068570000000001</v>
      </c>
      <c r="I255" s="105">
        <v>-16.71125</v>
      </c>
      <c r="J255" s="105">
        <v>39.466000000000001</v>
      </c>
      <c r="K255" s="106">
        <v>41.665889999999997</v>
      </c>
      <c r="N255" s="4">
        <f>'R'!E253</f>
        <v>1.0921021524906733E-3</v>
      </c>
      <c r="O255" s="66">
        <f t="shared" si="6"/>
        <v>3.6822036960796181E-2</v>
      </c>
      <c r="P255" s="3">
        <f t="shared" si="7"/>
        <v>5.24957887641486E-2</v>
      </c>
      <c r="Q255" s="4">
        <f t="shared" si="8"/>
        <v>-1.8250392095809764E-2</v>
      </c>
      <c r="R255" s="4">
        <f t="shared" si="9"/>
        <v>4.3100903550196912E-2</v>
      </c>
      <c r="S255" s="47">
        <f t="shared" si="10"/>
        <v>4.5503408154439616E-2</v>
      </c>
      <c r="V255" s="4">
        <f t="shared" si="4"/>
        <v>3.6363636363636364E-3</v>
      </c>
      <c r="W255" s="66">
        <f t="shared" si="11"/>
        <v>0.12260603636363636</v>
      </c>
      <c r="X255" s="3">
        <f t="shared" si="12"/>
        <v>0.1747948</v>
      </c>
      <c r="Y255" s="4">
        <f t="shared" si="13"/>
        <v>-6.0768181818181818E-2</v>
      </c>
      <c r="Z255" s="4">
        <f t="shared" si="14"/>
        <v>0.14351272727272726</v>
      </c>
      <c r="AA255" s="47">
        <f t="shared" si="15"/>
        <v>0.15151232727272726</v>
      </c>
    </row>
    <row r="256" spans="1:27" x14ac:dyDescent="0.35">
      <c r="A256" s="83" t="s">
        <v>480</v>
      </c>
      <c r="B256" s="84" t="s">
        <v>966</v>
      </c>
      <c r="C256" s="91" t="str">
        <f t="shared" si="5"/>
        <v>VFC US EQUITY</v>
      </c>
      <c r="D256" s="85">
        <v>0.41345794392523366</v>
      </c>
      <c r="E256" s="85">
        <v>0.58654205607476639</v>
      </c>
      <c r="F256" s="86">
        <f>_xlfn.XLOOKUP(Table225[[#This Row],[Ticker]],'R'!B:B,'R'!D:D,"not found")</f>
        <v>26540000000</v>
      </c>
      <c r="G256" s="87">
        <v>-11.894769999999999</v>
      </c>
      <c r="H256" s="92">
        <v>51.724600000000002</v>
      </c>
      <c r="I256" s="105">
        <v>-1.2913699999999999</v>
      </c>
      <c r="J256" s="105">
        <v>42.752659999999999</v>
      </c>
      <c r="K256" s="106">
        <v>-12.139900000000001</v>
      </c>
      <c r="N256" s="4">
        <f>'R'!E254</f>
        <v>3.0606537621016335E-3</v>
      </c>
      <c r="O256" s="66">
        <f t="shared" si="6"/>
        <v>-3.6405772549833647E-2</v>
      </c>
      <c r="P256" s="3">
        <f t="shared" si="7"/>
        <v>0.15831109158320217</v>
      </c>
      <c r="Q256" s="4">
        <f t="shared" si="8"/>
        <v>-3.9524364487651866E-3</v>
      </c>
      <c r="R256" s="4">
        <f t="shared" si="9"/>
        <v>0.13085108966885203</v>
      </c>
      <c r="S256" s="47">
        <f t="shared" si="10"/>
        <v>-3.7156030606537625E-2</v>
      </c>
      <c r="V256" s="4">
        <f t="shared" si="4"/>
        <v>3.6363636363636364E-3</v>
      </c>
      <c r="W256" s="66">
        <f t="shared" si="11"/>
        <v>-4.3253709090909087E-2</v>
      </c>
      <c r="X256" s="3">
        <f t="shared" si="12"/>
        <v>0.18808945454545456</v>
      </c>
      <c r="Y256" s="4">
        <f t="shared" si="13"/>
        <v>-4.6958909090909088E-3</v>
      </c>
      <c r="Z256" s="4">
        <f t="shared" si="14"/>
        <v>0.15546421818181819</v>
      </c>
      <c r="AA256" s="47">
        <f t="shared" si="15"/>
        <v>-4.4145090909090912E-2</v>
      </c>
    </row>
    <row r="257" spans="1:27" x14ac:dyDescent="0.35">
      <c r="A257" s="83" t="s">
        <v>25</v>
      </c>
      <c r="B257" s="84" t="s">
        <v>536</v>
      </c>
      <c r="C257" s="91" t="str">
        <f t="shared" si="5"/>
        <v>MLM US EQUITY</v>
      </c>
      <c r="D257" s="85">
        <v>0.17682445301249594</v>
      </c>
      <c r="E257" s="85">
        <v>0.82317554698750406</v>
      </c>
      <c r="F257" s="86">
        <f>_xlfn.XLOOKUP(Table225[[#This Row],[Ticker]],'R'!B:B,'R'!D:D,"not found")</f>
        <v>8810000000</v>
      </c>
      <c r="G257" s="87">
        <v>2.5918480000000002</v>
      </c>
      <c r="H257" s="92">
        <v>64.172129999999996</v>
      </c>
      <c r="I257" s="105">
        <v>-21.537949999999999</v>
      </c>
      <c r="J257" s="105">
        <v>0.5751252</v>
      </c>
      <c r="K257" s="106">
        <v>63.669919999999998</v>
      </c>
      <c r="N257" s="4">
        <f>'R'!E255</f>
        <v>1.0159894364775957E-3</v>
      </c>
      <c r="O257" s="66">
        <f t="shared" si="6"/>
        <v>2.6332901889555838E-3</v>
      </c>
      <c r="P257" s="3">
        <f t="shared" si="7"/>
        <v>6.5198206196267011E-2</v>
      </c>
      <c r="Q257" s="4">
        <f t="shared" si="8"/>
        <v>-2.1882329683382631E-2</v>
      </c>
      <c r="R257" s="4">
        <f t="shared" si="9"/>
        <v>5.843211278520645E-4</v>
      </c>
      <c r="S257" s="47">
        <f t="shared" si="10"/>
        <v>6.4687966141373593E-2</v>
      </c>
      <c r="V257" s="4">
        <f t="shared" si="4"/>
        <v>3.6363636363636364E-3</v>
      </c>
      <c r="W257" s="66">
        <f t="shared" si="11"/>
        <v>9.4249018181818186E-3</v>
      </c>
      <c r="X257" s="3">
        <f t="shared" si="12"/>
        <v>0.23335319999999998</v>
      </c>
      <c r="Y257" s="4">
        <f t="shared" si="13"/>
        <v>-7.8319818181818171E-2</v>
      </c>
      <c r="Z257" s="4">
        <f t="shared" si="14"/>
        <v>2.0913643636363637E-3</v>
      </c>
      <c r="AA257" s="47">
        <f t="shared" si="15"/>
        <v>0.23152698181818182</v>
      </c>
    </row>
    <row r="258" spans="1:27" x14ac:dyDescent="0.35">
      <c r="A258" s="83" t="s">
        <v>129</v>
      </c>
      <c r="B258" s="84" t="s">
        <v>633</v>
      </c>
      <c r="C258" s="91" t="str">
        <f t="shared" si="5"/>
        <v>BKR US EQUITY</v>
      </c>
      <c r="D258" s="85">
        <v>0.31968955390854426</v>
      </c>
      <c r="E258" s="85">
        <v>0.68031044609145574</v>
      </c>
      <c r="F258" s="86">
        <f>_xlfn.XLOOKUP(Table225[[#This Row],[Ticker]],'R'!B:B,'R'!D:D,"not found")</f>
        <v>18380000000</v>
      </c>
      <c r="G258" s="87">
        <v>-15.12584</v>
      </c>
      <c r="H258" s="92">
        <v>22.942920000000001</v>
      </c>
      <c r="I258" s="105">
        <v>-30.418900000000001</v>
      </c>
      <c r="J258" s="105">
        <v>-27.247150000000001</v>
      </c>
      <c r="K258" s="106">
        <v>42.810839999999999</v>
      </c>
      <c r="N258" s="4">
        <f>'R'!E256</f>
        <v>2.1196238186672201E-3</v>
      </c>
      <c r="O258" s="66">
        <f t="shared" si="6"/>
        <v>-3.2061090741349385E-2</v>
      </c>
      <c r="P258" s="3">
        <f t="shared" si="7"/>
        <v>4.8630359701776538E-2</v>
      </c>
      <c r="Q258" s="4">
        <f t="shared" si="8"/>
        <v>-6.4476624977656299E-2</v>
      </c>
      <c r="R258" s="4">
        <f t="shared" si="9"/>
        <v>-5.7753708130798546E-2</v>
      </c>
      <c r="S258" s="47">
        <f t="shared" si="10"/>
        <v>9.074287616115137E-2</v>
      </c>
      <c r="V258" s="4">
        <f t="shared" si="4"/>
        <v>3.6363636363636364E-3</v>
      </c>
      <c r="W258" s="66">
        <f t="shared" si="11"/>
        <v>-5.5003054545454545E-2</v>
      </c>
      <c r="X258" s="3">
        <f t="shared" si="12"/>
        <v>8.3428799999999997E-2</v>
      </c>
      <c r="Y258" s="4">
        <f t="shared" si="13"/>
        <v>-0.11061418181818182</v>
      </c>
      <c r="Z258" s="4">
        <f t="shared" si="14"/>
        <v>-9.9080545454545463E-2</v>
      </c>
      <c r="AA258" s="47">
        <f t="shared" si="15"/>
        <v>0.15567578181818181</v>
      </c>
    </row>
    <row r="259" spans="1:27" x14ac:dyDescent="0.35">
      <c r="A259" s="83" t="s">
        <v>255</v>
      </c>
      <c r="B259" s="84" t="s">
        <v>753</v>
      </c>
      <c r="C259" s="91" t="str">
        <f t="shared" si="5"/>
        <v>BEN US EQUITY</v>
      </c>
      <c r="D259" s="85">
        <v>2.2603569985501389E-2</v>
      </c>
      <c r="E259" s="85">
        <v>0.97739643001449861</v>
      </c>
      <c r="F259" s="86">
        <f>_xlfn.XLOOKUP(Table225[[#This Row],[Ticker]],'R'!B:B,'R'!D:D,"not found")</f>
        <v>21920000000</v>
      </c>
      <c r="G259" s="87">
        <v>1.387346</v>
      </c>
      <c r="H259" s="92">
        <v>-9.3076229999999995</v>
      </c>
      <c r="I259" s="105">
        <v>-23.28755</v>
      </c>
      <c r="J259" s="105">
        <v>11.570919999999999</v>
      </c>
      <c r="K259" s="106">
        <v>9.7302070000000001</v>
      </c>
      <c r="N259" s="4">
        <f>'R'!E257</f>
        <v>2.5278647500100908E-3</v>
      </c>
      <c r="O259" s="66">
        <f t="shared" si="6"/>
        <v>3.5070230494674993E-3</v>
      </c>
      <c r="P259" s="3">
        <f t="shared" si="7"/>
        <v>-2.3528412088083171E-2</v>
      </c>
      <c r="Q259" s="4">
        <f t="shared" si="8"/>
        <v>-5.886777675909749E-2</v>
      </c>
      <c r="R259" s="4">
        <f t="shared" si="9"/>
        <v>2.9249720793186759E-2</v>
      </c>
      <c r="S259" s="47">
        <f t="shared" si="10"/>
        <v>2.4596647285601438E-2</v>
      </c>
      <c r="V259" s="4">
        <f t="shared" si="4"/>
        <v>3.6363636363636364E-3</v>
      </c>
      <c r="W259" s="66">
        <f t="shared" si="11"/>
        <v>5.0448945454545455E-3</v>
      </c>
      <c r="X259" s="3">
        <f t="shared" si="12"/>
        <v>-3.3845901818181819E-2</v>
      </c>
      <c r="Y259" s="4">
        <f t="shared" si="13"/>
        <v>-8.4681999999999993E-2</v>
      </c>
      <c r="Z259" s="4">
        <f t="shared" si="14"/>
        <v>4.2076072727272727E-2</v>
      </c>
      <c r="AA259" s="47">
        <f t="shared" si="15"/>
        <v>3.5382570909090909E-2</v>
      </c>
    </row>
    <row r="260" spans="1:27" x14ac:dyDescent="0.35">
      <c r="A260" s="83" t="s">
        <v>425</v>
      </c>
      <c r="B260" s="84" t="s">
        <v>920</v>
      </c>
      <c r="C260" s="91" t="str">
        <f t="shared" si="5"/>
        <v>SHW US EQUITY</v>
      </c>
      <c r="D260" s="85">
        <v>5.7688113413304251E-2</v>
      </c>
      <c r="E260" s="85">
        <v>0.94231188658669573</v>
      </c>
      <c r="F260" s="86">
        <f>_xlfn.XLOOKUP(Table225[[#This Row],[Ticker]],'R'!B:B,'R'!D:D,"not found")</f>
        <v>23950000000</v>
      </c>
      <c r="G260" s="87">
        <v>27.054320000000001</v>
      </c>
      <c r="H260" s="92">
        <v>49.68694</v>
      </c>
      <c r="I260" s="105">
        <v>-3.234124</v>
      </c>
      <c r="J260" s="105">
        <v>54.120620000000002</v>
      </c>
      <c r="K260" s="106">
        <v>4.786956</v>
      </c>
      <c r="N260" s="4">
        <f>'R'!E258</f>
        <v>2.7619690128987988E-3</v>
      </c>
      <c r="O260" s="66">
        <f t="shared" si="6"/>
        <v>7.4723193505048233E-2</v>
      </c>
      <c r="P260" s="3">
        <f t="shared" si="7"/>
        <v>0.13723378862576183</v>
      </c>
      <c r="Q260" s="4">
        <f t="shared" si="8"/>
        <v>-8.9325502718723138E-3</v>
      </c>
      <c r="R260" s="4">
        <f t="shared" si="9"/>
        <v>0.14947947539887099</v>
      </c>
      <c r="S260" s="47">
        <f t="shared" si="10"/>
        <v>1.3221424138109983E-2</v>
      </c>
      <c r="V260" s="4">
        <f t="shared" si="4"/>
        <v>3.6363636363636364E-3</v>
      </c>
      <c r="W260" s="66">
        <f t="shared" si="11"/>
        <v>9.837934545454545E-2</v>
      </c>
      <c r="X260" s="3">
        <f t="shared" si="12"/>
        <v>0.18067978181818181</v>
      </c>
      <c r="Y260" s="4">
        <f t="shared" si="13"/>
        <v>-1.1760450909090909E-2</v>
      </c>
      <c r="Z260" s="4">
        <f t="shared" si="14"/>
        <v>0.19680225454545455</v>
      </c>
      <c r="AA260" s="47">
        <f t="shared" si="15"/>
        <v>1.7407112727272727E-2</v>
      </c>
    </row>
    <row r="261" spans="1:27" x14ac:dyDescent="0.35">
      <c r="A261" s="83" t="s">
        <v>401</v>
      </c>
      <c r="B261" s="84" t="s">
        <v>897</v>
      </c>
      <c r="C261" s="91" t="str">
        <f t="shared" si="5"/>
        <v>PSA US EQUITY</v>
      </c>
      <c r="D261" s="85">
        <v>0.23358742258218199</v>
      </c>
      <c r="E261" s="85">
        <v>0.76641257741781799</v>
      </c>
      <c r="F261" s="86">
        <f>_xlfn.XLOOKUP(Table225[[#This Row],[Ticker]],'R'!B:B,'R'!D:D,"not found")</f>
        <v>42830000000</v>
      </c>
      <c r="G261" s="87">
        <v>12.56002</v>
      </c>
      <c r="H261" s="92">
        <v>8.9721679999999999</v>
      </c>
      <c r="I261" s="105">
        <v>0.62810180000000004</v>
      </c>
      <c r="J261" s="105">
        <v>-2.8884050000000001</v>
      </c>
      <c r="K261" s="106">
        <v>-6.8993989999999998</v>
      </c>
      <c r="N261" s="4">
        <f>'R'!E259</f>
        <v>4.9392539800607749E-3</v>
      </c>
      <c r="O261" s="66">
        <f t="shared" si="6"/>
        <v>6.203712877464293E-2</v>
      </c>
      <c r="P261" s="3">
        <f t="shared" si="7"/>
        <v>4.4315816503773919E-2</v>
      </c>
      <c r="Q261" s="4">
        <f t="shared" si="8"/>
        <v>3.1023543155333372E-3</v>
      </c>
      <c r="R261" s="4">
        <f t="shared" si="9"/>
        <v>-1.4266565892277443E-2</v>
      </c>
      <c r="S261" s="47">
        <f t="shared" si="10"/>
        <v>-3.407788397077733E-2</v>
      </c>
      <c r="V261" s="4">
        <f t="shared" ref="V261:V278" si="16">1/275</f>
        <v>3.6363636363636364E-3</v>
      </c>
      <c r="W261" s="66">
        <f t="shared" si="11"/>
        <v>4.56728E-2</v>
      </c>
      <c r="X261" s="3">
        <f t="shared" si="12"/>
        <v>3.2626065454545453E-2</v>
      </c>
      <c r="Y261" s="4">
        <f t="shared" si="13"/>
        <v>2.2840065454545456E-3</v>
      </c>
      <c r="Z261" s="4">
        <f t="shared" si="14"/>
        <v>-1.0503290909090909E-2</v>
      </c>
      <c r="AA261" s="47">
        <f t="shared" si="15"/>
        <v>-2.5088723636363636E-2</v>
      </c>
    </row>
    <row r="262" spans="1:27" x14ac:dyDescent="0.35">
      <c r="A262" s="83" t="s">
        <v>465</v>
      </c>
      <c r="B262" s="84" t="s">
        <v>465</v>
      </c>
      <c r="C262" s="91" t="str">
        <f t="shared" si="5"/>
        <v>UDR US EQUITY</v>
      </c>
      <c r="D262" s="85">
        <v>0.46129385964912278</v>
      </c>
      <c r="E262" s="85">
        <v>0.53870614035087716</v>
      </c>
      <c r="F262" s="86">
        <f>_xlfn.XLOOKUP(Table225[[#This Row],[Ticker]],'R'!B:B,'R'!D:D,"not found")</f>
        <v>9840000000</v>
      </c>
      <c r="G262" s="87">
        <v>-14.63087</v>
      </c>
      <c r="H262" s="92">
        <v>21.4754</v>
      </c>
      <c r="I262" s="105">
        <v>6.4076069999999996</v>
      </c>
      <c r="J262" s="105">
        <v>9.1162919999999996</v>
      </c>
      <c r="K262" s="106">
        <v>0.26700499999999999</v>
      </c>
      <c r="N262" s="4">
        <f>'R'!E260</f>
        <v>1.1347714023767926E-3</v>
      </c>
      <c r="O262" s="66">
        <f t="shared" si="6"/>
        <v>-1.6602692867892545E-2</v>
      </c>
      <c r="P262" s="3">
        <f t="shared" si="7"/>
        <v>2.4369669774602573E-2</v>
      </c>
      <c r="Q262" s="4">
        <f t="shared" si="8"/>
        <v>7.2711691812693529E-3</v>
      </c>
      <c r="R262" s="4">
        <f t="shared" si="9"/>
        <v>1.0344907457316335E-2</v>
      </c>
      <c r="S262" s="47">
        <f t="shared" si="10"/>
        <v>3.0298963829161551E-4</v>
      </c>
      <c r="V262" s="4">
        <f t="shared" si="16"/>
        <v>3.6363636363636364E-3</v>
      </c>
      <c r="W262" s="66">
        <f t="shared" si="11"/>
        <v>-5.3203163636363633E-2</v>
      </c>
      <c r="X262" s="3">
        <f t="shared" si="12"/>
        <v>7.809236363636364E-2</v>
      </c>
      <c r="Y262" s="4">
        <f t="shared" si="13"/>
        <v>2.330038909090909E-2</v>
      </c>
      <c r="Z262" s="4">
        <f t="shared" si="14"/>
        <v>3.3150152727272723E-2</v>
      </c>
      <c r="AA262" s="47">
        <f t="shared" si="15"/>
        <v>9.7092727272727274E-4</v>
      </c>
    </row>
    <row r="263" spans="1:27" x14ac:dyDescent="0.35">
      <c r="A263" s="83" t="s">
        <v>26</v>
      </c>
      <c r="B263" s="84" t="s">
        <v>537</v>
      </c>
      <c r="C263" s="91" t="str">
        <f t="shared" si="5"/>
        <v>TRMB US EQUITY</v>
      </c>
      <c r="D263" s="85">
        <v>0.37504359571081619</v>
      </c>
      <c r="E263" s="85">
        <v>0.62495640428918386</v>
      </c>
      <c r="F263" s="86">
        <f>_xlfn.XLOOKUP(Table225[[#This Row],[Ticker]],'R'!B:B,'R'!D:D,"not found")</f>
        <v>5370000000</v>
      </c>
      <c r="G263" s="87">
        <v>60.158299999999997</v>
      </c>
      <c r="H263" s="92">
        <v>26.678809999999999</v>
      </c>
      <c r="I263" s="105">
        <v>-19.020679999999999</v>
      </c>
      <c r="J263" s="105">
        <v>34.792720000000003</v>
      </c>
      <c r="K263" s="106">
        <v>40.559460000000001</v>
      </c>
      <c r="N263" s="4">
        <f>'R'!E261</f>
        <v>6.1928073483367638E-4</v>
      </c>
      <c r="O263" s="66">
        <f t="shared" si="6"/>
        <v>3.7254876230344749E-2</v>
      </c>
      <c r="P263" s="3">
        <f t="shared" si="7"/>
        <v>1.6521673061288034E-2</v>
      </c>
      <c r="Q263" s="4">
        <f t="shared" si="8"/>
        <v>-1.1779140687436211E-2</v>
      </c>
      <c r="R263" s="4">
        <f t="shared" si="9"/>
        <v>2.1546461208462351E-2</v>
      </c>
      <c r="S263" s="47">
        <f t="shared" si="10"/>
        <v>2.5117692193257105E-2</v>
      </c>
      <c r="V263" s="4">
        <f t="shared" si="16"/>
        <v>3.6363636363636364E-3</v>
      </c>
      <c r="W263" s="66">
        <f t="shared" si="11"/>
        <v>0.21875745454545453</v>
      </c>
      <c r="X263" s="3">
        <f t="shared" si="12"/>
        <v>9.7013854545454539E-2</v>
      </c>
      <c r="Y263" s="4">
        <f t="shared" si="13"/>
        <v>-6.9166109090909089E-2</v>
      </c>
      <c r="Z263" s="4">
        <f t="shared" si="14"/>
        <v>0.12651898181818183</v>
      </c>
      <c r="AA263" s="47">
        <f t="shared" si="15"/>
        <v>0.14748894545454547</v>
      </c>
    </row>
    <row r="264" spans="1:27" x14ac:dyDescent="0.35">
      <c r="A264" s="83" t="s">
        <v>287</v>
      </c>
      <c r="B264" s="84" t="s">
        <v>784</v>
      </c>
      <c r="C264" s="91" t="str">
        <f t="shared" si="5"/>
        <v>ILMN US EQUITY</v>
      </c>
      <c r="D264" s="85">
        <v>0.44341106476099296</v>
      </c>
      <c r="E264" s="85">
        <v>0.5565889352390071</v>
      </c>
      <c r="F264" s="86">
        <f>_xlfn.XLOOKUP(Table225[[#This Row],[Ticker]],'R'!B:B,'R'!D:D,"not found")</f>
        <v>28100000000</v>
      </c>
      <c r="G264" s="87">
        <v>11.53313</v>
      </c>
      <c r="H264" s="92">
        <v>10.60581</v>
      </c>
      <c r="I264" s="105">
        <v>37.27402</v>
      </c>
      <c r="J264" s="105">
        <v>70.641980000000004</v>
      </c>
      <c r="K264" s="106">
        <v>-33.293379999999999</v>
      </c>
      <c r="N264" s="4">
        <f>'R'!E262</f>
        <v>3.2405565454052712E-3</v>
      </c>
      <c r="O264" s="66">
        <f t="shared" si="6"/>
        <v>3.7373759910509896E-2</v>
      </c>
      <c r="P264" s="3">
        <f t="shared" si="7"/>
        <v>3.4368727014824678E-2</v>
      </c>
      <c r="Q264" s="4">
        <f t="shared" si="8"/>
        <v>0.12078856948456698</v>
      </c>
      <c r="R264" s="4">
        <f t="shared" si="9"/>
        <v>0.22891933066938827</v>
      </c>
      <c r="S264" s="47">
        <f t="shared" si="10"/>
        <v>-0.10788908047766495</v>
      </c>
      <c r="V264" s="4">
        <f t="shared" si="16"/>
        <v>3.6363636363636364E-3</v>
      </c>
      <c r="W264" s="66">
        <f t="shared" si="11"/>
        <v>4.1938654545454548E-2</v>
      </c>
      <c r="X264" s="3">
        <f t="shared" si="12"/>
        <v>3.8566581818181817E-2</v>
      </c>
      <c r="Y264" s="4">
        <f t="shared" si="13"/>
        <v>0.13554189090909091</v>
      </c>
      <c r="Z264" s="4">
        <f t="shared" si="14"/>
        <v>0.25687992727272729</v>
      </c>
      <c r="AA264" s="47">
        <f t="shared" si="15"/>
        <v>-0.12106683636363635</v>
      </c>
    </row>
    <row r="265" spans="1:27" x14ac:dyDescent="0.35">
      <c r="A265" s="83" t="s">
        <v>29</v>
      </c>
      <c r="B265" s="84" t="s">
        <v>539</v>
      </c>
      <c r="C265" s="91" t="str">
        <f t="shared" si="5"/>
        <v>ARE US EQUITY</v>
      </c>
      <c r="D265" s="85">
        <v>4.0004588809859389E-2</v>
      </c>
      <c r="E265" s="85">
        <v>0.95999541119014065</v>
      </c>
      <c r="F265" s="86">
        <f>_xlfn.XLOOKUP(Table225[[#This Row],[Ticker]],'R'!B:B,'R'!D:D,"not found")</f>
        <v>6560000000</v>
      </c>
      <c r="G265" s="87">
        <v>13.253959999999999</v>
      </c>
      <c r="H265" s="92">
        <v>44.020800000000001</v>
      </c>
      <c r="I265" s="105">
        <v>-9.0106599999999997</v>
      </c>
      <c r="J265" s="105">
        <v>20.944189999999999</v>
      </c>
      <c r="K265" s="106">
        <v>26.912479999999999</v>
      </c>
      <c r="N265" s="4">
        <f>'R'!E263</f>
        <v>7.5651426825119503E-4</v>
      </c>
      <c r="O265" s="66">
        <f t="shared" si="6"/>
        <v>1.0026809850830608E-2</v>
      </c>
      <c r="P265" s="3">
        <f t="shared" si="7"/>
        <v>3.3302363299832209E-2</v>
      </c>
      <c r="Q265" s="4">
        <f t="shared" si="8"/>
        <v>-6.8166928563603126E-3</v>
      </c>
      <c r="R265" s="4">
        <f t="shared" si="9"/>
        <v>1.5844578571963995E-2</v>
      </c>
      <c r="S265" s="47">
        <f t="shared" si="10"/>
        <v>2.0359675114024919E-2</v>
      </c>
      <c r="V265" s="4">
        <f t="shared" si="16"/>
        <v>3.6363636363636364E-3</v>
      </c>
      <c r="W265" s="66">
        <f t="shared" si="11"/>
        <v>4.8196218181818178E-2</v>
      </c>
      <c r="X265" s="3">
        <f t="shared" si="12"/>
        <v>0.16007563636363636</v>
      </c>
      <c r="Y265" s="4">
        <f t="shared" si="13"/>
        <v>-3.2766036363636362E-2</v>
      </c>
      <c r="Z265" s="4">
        <f t="shared" si="14"/>
        <v>7.6160690909090903E-2</v>
      </c>
      <c r="AA265" s="47">
        <f t="shared" si="15"/>
        <v>9.7863563636363629E-2</v>
      </c>
    </row>
    <row r="266" spans="1:27" x14ac:dyDescent="0.35">
      <c r="A266" s="83" t="s">
        <v>33</v>
      </c>
      <c r="B266" s="84" t="s">
        <v>543</v>
      </c>
      <c r="C266" s="91" t="str">
        <f t="shared" si="5"/>
        <v>AJG US EQUITY</v>
      </c>
      <c r="D266" s="85">
        <v>0.27468729477064247</v>
      </c>
      <c r="E266" s="85">
        <v>0.72531270522935753</v>
      </c>
      <c r="F266" s="86">
        <f>_xlfn.XLOOKUP(Table225[[#This Row],[Ticker]],'R'!B:B,'R'!D:D,"not found")</f>
        <v>7240000000</v>
      </c>
      <c r="G266" s="87">
        <v>32.152659999999997</v>
      </c>
      <c r="H266" s="92">
        <v>31.777629999999998</v>
      </c>
      <c r="I266" s="105">
        <v>19.19164</v>
      </c>
      <c r="J266" s="105">
        <v>25.02018</v>
      </c>
      <c r="K266" s="106">
        <v>31.105399999999999</v>
      </c>
      <c r="N266" s="4">
        <f>'R'!E264</f>
        <v>8.3493343020406285E-4</v>
      </c>
      <c r="O266" s="66">
        <f t="shared" si="6"/>
        <v>2.6845330703984961E-2</v>
      </c>
      <c r="P266" s="3">
        <f t="shared" si="7"/>
        <v>2.6532205619655531E-2</v>
      </c>
      <c r="Q266" s="4">
        <f t="shared" si="8"/>
        <v>1.6023741816441499E-2</v>
      </c>
      <c r="R266" s="4">
        <f t="shared" si="9"/>
        <v>2.0890184711723089E-2</v>
      </c>
      <c r="S266" s="47">
        <f t="shared" si="10"/>
        <v>2.5970938319869456E-2</v>
      </c>
      <c r="V266" s="4">
        <f t="shared" si="16"/>
        <v>3.6363636363636364E-3</v>
      </c>
      <c r="W266" s="66">
        <f t="shared" si="11"/>
        <v>0.11691876363636362</v>
      </c>
      <c r="X266" s="3">
        <f t="shared" si="12"/>
        <v>0.11555501818181818</v>
      </c>
      <c r="Y266" s="4">
        <f t="shared" si="13"/>
        <v>6.9787781818181821E-2</v>
      </c>
      <c r="Z266" s="4">
        <f t="shared" si="14"/>
        <v>9.0982472727272723E-2</v>
      </c>
      <c r="AA266" s="47">
        <f t="shared" si="15"/>
        <v>0.11311054545454545</v>
      </c>
    </row>
    <row r="267" spans="1:27" x14ac:dyDescent="0.35">
      <c r="A267" s="83" t="s">
        <v>409</v>
      </c>
      <c r="B267" s="84" t="s">
        <v>904</v>
      </c>
      <c r="C267" s="91" t="str">
        <f t="shared" si="5"/>
        <v>REG US EQUITY</v>
      </c>
      <c r="D267" s="85">
        <v>0.39305263157894738</v>
      </c>
      <c r="E267" s="85">
        <v>0.60694736842105268</v>
      </c>
      <c r="F267" s="86">
        <f>_xlfn.XLOOKUP(Table225[[#This Row],[Ticker]],'R'!B:B,'R'!D:D,"not found")</f>
        <v>6590000000</v>
      </c>
      <c r="G267" s="87">
        <v>-23.912210000000002</v>
      </c>
      <c r="H267" s="92">
        <v>11.42253</v>
      </c>
      <c r="I267" s="105">
        <v>-12.016640000000001</v>
      </c>
      <c r="J267" s="105">
        <v>3.5874609999999998</v>
      </c>
      <c r="K267" s="106">
        <v>3.9687510000000001</v>
      </c>
      <c r="N267" s="4">
        <f>'R'!E265</f>
        <v>7.5997393716088042E-4</v>
      </c>
      <c r="O267" s="66">
        <f t="shared" si="6"/>
        <v>-1.8172656379917777E-2</v>
      </c>
      <c r="P267" s="3">
        <f t="shared" si="7"/>
        <v>8.680825096438272E-3</v>
      </c>
      <c r="Q267" s="4">
        <f t="shared" si="8"/>
        <v>-9.1323332122449224E-3</v>
      </c>
      <c r="R267" s="4">
        <f t="shared" si="9"/>
        <v>2.726376860581109E-3</v>
      </c>
      <c r="S267" s="47">
        <f t="shared" si="10"/>
        <v>3.0161473230811814E-3</v>
      </c>
      <c r="V267" s="4">
        <f t="shared" si="16"/>
        <v>3.6363636363636364E-3</v>
      </c>
      <c r="W267" s="66">
        <f t="shared" si="11"/>
        <v>-8.6953490909090922E-2</v>
      </c>
      <c r="X267" s="3">
        <f t="shared" si="12"/>
        <v>4.1536472727272726E-2</v>
      </c>
      <c r="Y267" s="4">
        <f t="shared" si="13"/>
        <v>-4.3696872727272733E-2</v>
      </c>
      <c r="Z267" s="4">
        <f t="shared" si="14"/>
        <v>1.3045312727272726E-2</v>
      </c>
      <c r="AA267" s="47">
        <f t="shared" si="15"/>
        <v>1.4431821818181818E-2</v>
      </c>
    </row>
    <row r="268" spans="1:27" x14ac:dyDescent="0.35">
      <c r="A268" s="83" t="s">
        <v>111</v>
      </c>
      <c r="B268" s="84" t="s">
        <v>615</v>
      </c>
      <c r="C268" s="91" t="str">
        <f t="shared" si="5"/>
        <v>ADI US EQUITY</v>
      </c>
      <c r="D268" s="85">
        <v>0.49299299299299298</v>
      </c>
      <c r="E268" s="85">
        <v>0.50700700700700696</v>
      </c>
      <c r="F268" s="86">
        <f>_xlfn.XLOOKUP(Table225[[#This Row],[Ticker]],'R'!B:B,'R'!D:D,"not found")</f>
        <v>17260000000</v>
      </c>
      <c r="G268" s="87">
        <v>26.93957</v>
      </c>
      <c r="H268" s="92">
        <v>41.287619999999997</v>
      </c>
      <c r="I268" s="105">
        <v>-1.6472640000000001</v>
      </c>
      <c r="J268" s="105">
        <v>25.294820000000001</v>
      </c>
      <c r="K268" s="106">
        <v>34.942599999999999</v>
      </c>
      <c r="N268" s="4">
        <f>'R'!E266</f>
        <v>1.9904628460389673E-3</v>
      </c>
      <c r="O268" s="66">
        <f t="shared" si="6"/>
        <v>5.362221317326598E-2</v>
      </c>
      <c r="P268" s="3">
        <f t="shared" si="7"/>
        <v>8.2181473611375386E-2</v>
      </c>
      <c r="Q268" s="4">
        <f t="shared" si="8"/>
        <v>-3.2788177896175335E-3</v>
      </c>
      <c r="R268" s="4">
        <f t="shared" si="9"/>
        <v>5.0348399407243394E-2</v>
      </c>
      <c r="S268" s="47">
        <f t="shared" si="10"/>
        <v>6.9551947044001222E-2</v>
      </c>
      <c r="V268" s="4">
        <f t="shared" si="16"/>
        <v>3.6363636363636364E-3</v>
      </c>
      <c r="W268" s="66">
        <f t="shared" si="11"/>
        <v>9.7962072727272725E-2</v>
      </c>
      <c r="X268" s="3">
        <f t="shared" si="12"/>
        <v>0.15013679999999999</v>
      </c>
      <c r="Y268" s="4">
        <f t="shared" si="13"/>
        <v>-5.9900509090909096E-3</v>
      </c>
      <c r="Z268" s="4">
        <f t="shared" si="14"/>
        <v>9.1981163636363647E-2</v>
      </c>
      <c r="AA268" s="47">
        <f t="shared" si="15"/>
        <v>0.12706399999999998</v>
      </c>
    </row>
    <row r="269" spans="1:27" x14ac:dyDescent="0.35">
      <c r="A269" s="83" t="s">
        <v>280</v>
      </c>
      <c r="B269" s="84" t="s">
        <v>778</v>
      </c>
      <c r="C269" s="91" t="str">
        <f t="shared" si="5"/>
        <v>HST US EQUITY</v>
      </c>
      <c r="D269" s="85">
        <v>0.25811956638402922</v>
      </c>
      <c r="E269" s="85">
        <v>0.74188043361597078</v>
      </c>
      <c r="F269" s="86">
        <f>_xlfn.XLOOKUP(Table225[[#This Row],[Ticker]],'R'!B:B,'R'!D:D,"not found")</f>
        <v>11510000000</v>
      </c>
      <c r="G269" s="87">
        <v>-19.75084</v>
      </c>
      <c r="H269" s="92">
        <v>16.572330000000001</v>
      </c>
      <c r="I269" s="105">
        <v>-12.196020000000001</v>
      </c>
      <c r="J269" s="105">
        <v>10.1783</v>
      </c>
      <c r="K269" s="106">
        <v>29.281590000000001</v>
      </c>
      <c r="N269" s="4">
        <f>'R'!E267</f>
        <v>1.3273596383492766E-3</v>
      </c>
      <c r="O269" s="66">
        <f t="shared" si="6"/>
        <v>-2.6216467839494426E-2</v>
      </c>
      <c r="P269" s="3">
        <f t="shared" si="7"/>
        <v>2.1997441955404869E-2</v>
      </c>
      <c r="Q269" s="4">
        <f t="shared" si="8"/>
        <v>-1.6188504696500544E-2</v>
      </c>
      <c r="R269" s="4">
        <f t="shared" si="9"/>
        <v>1.3510264607010443E-2</v>
      </c>
      <c r="S269" s="47">
        <f t="shared" si="10"/>
        <v>3.8867200712691799E-2</v>
      </c>
      <c r="V269" s="4">
        <f t="shared" si="16"/>
        <v>3.6363636363636364E-3</v>
      </c>
      <c r="W269" s="66">
        <f t="shared" si="11"/>
        <v>-7.1821236363636368E-2</v>
      </c>
      <c r="X269" s="3">
        <f t="shared" si="12"/>
        <v>6.0263018181818187E-2</v>
      </c>
      <c r="Y269" s="4">
        <f t="shared" si="13"/>
        <v>-4.4349163636363639E-2</v>
      </c>
      <c r="Z269" s="4">
        <f t="shared" si="14"/>
        <v>3.7012000000000003E-2</v>
      </c>
      <c r="AA269" s="47">
        <f t="shared" si="15"/>
        <v>0.1064785090909091</v>
      </c>
    </row>
    <row r="270" spans="1:27" x14ac:dyDescent="0.35">
      <c r="A270" s="83" t="s">
        <v>417</v>
      </c>
      <c r="B270" s="84" t="s">
        <v>912</v>
      </c>
      <c r="C270" s="91" t="str">
        <f t="shared" si="5"/>
        <v>RCL US EQUITY</v>
      </c>
      <c r="D270" s="85">
        <v>0.30719198360282396</v>
      </c>
      <c r="E270" s="85">
        <v>0.69280801639717604</v>
      </c>
      <c r="F270" s="86">
        <f>_xlfn.XLOOKUP(Table225[[#This Row],[Ticker]],'R'!B:B,'R'!D:D,"not found")</f>
        <v>22060000000</v>
      </c>
      <c r="G270" s="87">
        <v>-43.393259999999998</v>
      </c>
      <c r="H270" s="92">
        <v>39.953389999999999</v>
      </c>
      <c r="I270" s="105">
        <v>-16.143519999999999</v>
      </c>
      <c r="J270" s="105">
        <v>48.234679999999997</v>
      </c>
      <c r="K270" s="106">
        <v>-17.092739999999999</v>
      </c>
      <c r="N270" s="4">
        <f>'R'!E268</f>
        <v>2.5440098715886223E-3</v>
      </c>
      <c r="O270" s="66">
        <f t="shared" si="6"/>
        <v>-0.11039288180041169</v>
      </c>
      <c r="P270" s="3">
        <f t="shared" si="7"/>
        <v>0.10164181856343014</v>
      </c>
      <c r="Q270" s="4">
        <f t="shared" si="8"/>
        <v>-4.1069274242188356E-2</v>
      </c>
      <c r="R270" s="4">
        <f t="shared" si="9"/>
        <v>0.12270950207291828</v>
      </c>
      <c r="S270" s="47">
        <f t="shared" si="10"/>
        <v>-4.3484099292497705E-2</v>
      </c>
      <c r="V270" s="4">
        <f t="shared" si="16"/>
        <v>3.6363636363636364E-3</v>
      </c>
      <c r="W270" s="66">
        <f t="shared" si="11"/>
        <v>-0.15779367272727271</v>
      </c>
      <c r="X270" s="3">
        <f t="shared" si="12"/>
        <v>0.14528505454545454</v>
      </c>
      <c r="Y270" s="4">
        <f t="shared" si="13"/>
        <v>-5.8703709090909086E-2</v>
      </c>
      <c r="Z270" s="4">
        <f t="shared" si="14"/>
        <v>0.17539883636363635</v>
      </c>
      <c r="AA270" s="47">
        <f t="shared" si="15"/>
        <v>-6.2155418181818176E-2</v>
      </c>
    </row>
    <row r="271" spans="1:27" x14ac:dyDescent="0.35">
      <c r="A271" s="83" t="s">
        <v>312</v>
      </c>
      <c r="B271" s="84" t="s">
        <v>809</v>
      </c>
      <c r="C271" s="91" t="str">
        <f t="shared" si="5"/>
        <v>KMI US EQUITY</v>
      </c>
      <c r="D271" s="85">
        <v>0.2004998185016614</v>
      </c>
      <c r="E271" s="85">
        <v>0.79950018149833857</v>
      </c>
      <c r="F271" s="86">
        <f>_xlfn.XLOOKUP(Table225[[#This Row],[Ticker]],'R'!B:B,'R'!D:D,"not found")</f>
        <v>33259999999.999996</v>
      </c>
      <c r="G271" s="87">
        <v>-30.742629999999998</v>
      </c>
      <c r="H271" s="92">
        <v>44.405479999999997</v>
      </c>
      <c r="I271" s="105">
        <v>-11.203530000000001</v>
      </c>
      <c r="J271" s="105">
        <v>-10.566839999999999</v>
      </c>
      <c r="K271" s="106">
        <v>42.671140000000001</v>
      </c>
      <c r="N271" s="4">
        <f>'R'!E269</f>
        <v>3.8356195978711499E-3</v>
      </c>
      <c r="O271" s="66">
        <f t="shared" si="6"/>
        <v>-0.11791703411810155</v>
      </c>
      <c r="P271" s="3">
        <f t="shared" si="7"/>
        <v>0.17032252934087538</v>
      </c>
      <c r="Q271" s="4">
        <f t="shared" si="8"/>
        <v>-4.2972479233337364E-2</v>
      </c>
      <c r="R271" s="4">
        <f t="shared" si="9"/>
        <v>-4.0530378591568779E-2</v>
      </c>
      <c r="S271" s="47">
        <f t="shared" si="10"/>
        <v>0.16367026084750355</v>
      </c>
      <c r="V271" s="4">
        <f t="shared" si="16"/>
        <v>3.6363636363636364E-3</v>
      </c>
      <c r="W271" s="66">
        <f t="shared" si="11"/>
        <v>-0.11179138181818181</v>
      </c>
      <c r="X271" s="3">
        <f t="shared" si="12"/>
        <v>0.16147447272727272</v>
      </c>
      <c r="Y271" s="4">
        <f t="shared" si="13"/>
        <v>-4.0740109090909096E-2</v>
      </c>
      <c r="Z271" s="4">
        <f t="shared" si="14"/>
        <v>-3.8424872727272727E-2</v>
      </c>
      <c r="AA271" s="47">
        <f t="shared" si="15"/>
        <v>0.15516778181818183</v>
      </c>
    </row>
    <row r="272" spans="1:27" x14ac:dyDescent="0.35">
      <c r="A272" s="83" t="s">
        <v>37</v>
      </c>
      <c r="B272" s="84" t="s">
        <v>547</v>
      </c>
      <c r="C272" s="91" t="str">
        <f t="shared" si="5"/>
        <v>RHI US EQUITY</v>
      </c>
      <c r="D272" s="85">
        <v>0.44987138562618156</v>
      </c>
      <c r="E272" s="85">
        <v>0.55012861437381844</v>
      </c>
      <c r="F272" s="86">
        <f>_xlfn.XLOOKUP(Table225[[#This Row],[Ticker]],'R'!B:B,'R'!D:D,"not found")</f>
        <v>6180000000</v>
      </c>
      <c r="G272" s="87">
        <v>1.368487</v>
      </c>
      <c r="H272" s="92">
        <v>12.750450000000001</v>
      </c>
      <c r="I272" s="105">
        <v>4.8209669999999996</v>
      </c>
      <c r="J272" s="105">
        <v>16.158639999999998</v>
      </c>
      <c r="K272" s="106">
        <v>5.7698130000000001</v>
      </c>
      <c r="N272" s="4">
        <f>'R'!E270</f>
        <v>7.1269179539518071E-4</v>
      </c>
      <c r="O272" s="66">
        <f t="shared" si="6"/>
        <v>9.7530945700496463E-4</v>
      </c>
      <c r="P272" s="3">
        <f t="shared" si="7"/>
        <v>9.0871411025964816E-3</v>
      </c>
      <c r="Q272" s="4">
        <f t="shared" si="8"/>
        <v>3.4358636267709177E-3</v>
      </c>
      <c r="R272" s="4">
        <f t="shared" si="9"/>
        <v>1.1516130152744381E-2</v>
      </c>
      <c r="S272" s="47">
        <f t="shared" si="10"/>
        <v>4.1120983860644536E-3</v>
      </c>
      <c r="V272" s="4">
        <f t="shared" si="16"/>
        <v>3.6363636363636364E-3</v>
      </c>
      <c r="W272" s="66">
        <f t="shared" si="11"/>
        <v>4.9763163636363638E-3</v>
      </c>
      <c r="X272" s="3">
        <f t="shared" si="12"/>
        <v>4.6365272727272727E-2</v>
      </c>
      <c r="Y272" s="4">
        <f t="shared" si="13"/>
        <v>1.7530789090909091E-2</v>
      </c>
      <c r="Z272" s="4">
        <f t="shared" si="14"/>
        <v>5.8758690909090902E-2</v>
      </c>
      <c r="AA272" s="47">
        <f t="shared" si="15"/>
        <v>2.0981138181818182E-2</v>
      </c>
    </row>
    <row r="273" spans="1:28" x14ac:dyDescent="0.35">
      <c r="A273" s="83" t="s">
        <v>460</v>
      </c>
      <c r="B273" s="84" t="s">
        <v>948</v>
      </c>
      <c r="C273" s="91" t="str">
        <f t="shared" si="5"/>
        <v>TROW US EQUITY</v>
      </c>
      <c r="D273" s="85">
        <v>0.34048661305100275</v>
      </c>
      <c r="E273" s="85">
        <v>0.6595133869489973</v>
      </c>
      <c r="F273" s="86">
        <f>_xlfn.XLOOKUP(Table225[[#This Row],[Ticker]],'R'!B:B,'R'!D:D,"not found")</f>
        <v>17910000000</v>
      </c>
      <c r="G273" s="87">
        <v>27.892910000000001</v>
      </c>
      <c r="H273" s="92">
        <v>35.61759</v>
      </c>
      <c r="I273" s="105">
        <v>-9.740043</v>
      </c>
      <c r="J273" s="105">
        <v>43.3874</v>
      </c>
      <c r="K273" s="106">
        <v>8.4831950000000003</v>
      </c>
      <c r="N273" s="4">
        <f>'R'!E271</f>
        <v>2.0654223390821499E-3</v>
      </c>
      <c r="O273" s="66">
        <f t="shared" si="6"/>
        <v>5.7610639416007893E-2</v>
      </c>
      <c r="P273" s="3">
        <f t="shared" si="7"/>
        <v>7.356536605026899E-2</v>
      </c>
      <c r="Q273" s="4">
        <f t="shared" si="8"/>
        <v>-2.011730239582072E-2</v>
      </c>
      <c r="R273" s="4">
        <f t="shared" si="9"/>
        <v>8.9613305194692863E-2</v>
      </c>
      <c r="S273" s="47">
        <f t="shared" si="10"/>
        <v>1.7521380459789997E-2</v>
      </c>
      <c r="V273" s="4">
        <f t="shared" si="16"/>
        <v>3.6363636363636364E-3</v>
      </c>
      <c r="W273" s="66">
        <f t="shared" si="11"/>
        <v>0.10142876363636363</v>
      </c>
      <c r="X273" s="3">
        <f t="shared" si="12"/>
        <v>0.12951850909090909</v>
      </c>
      <c r="Y273" s="4">
        <f t="shared" si="13"/>
        <v>-3.5418338181818179E-2</v>
      </c>
      <c r="Z273" s="4">
        <f t="shared" si="14"/>
        <v>0.15777236363636363</v>
      </c>
      <c r="AA273" s="47">
        <f t="shared" si="15"/>
        <v>3.0847981818181817E-2</v>
      </c>
    </row>
    <row r="274" spans="1:28" x14ac:dyDescent="0.35">
      <c r="A274" s="83" t="s">
        <v>44</v>
      </c>
      <c r="B274" s="84" t="s">
        <v>554</v>
      </c>
      <c r="C274" s="91" t="str">
        <f t="shared" si="5"/>
        <v>VNO US EQUITY</v>
      </c>
      <c r="D274" s="85">
        <v>0.15396058486967579</v>
      </c>
      <c r="E274" s="85">
        <v>0.84603941513032421</v>
      </c>
      <c r="F274" s="86">
        <f>_xlfn.XLOOKUP(Table225[[#This Row],[Ticker]],'R'!B:B,'R'!D:D,"not found")</f>
        <v>18850000000</v>
      </c>
      <c r="G274" s="87">
        <v>-40.468910000000001</v>
      </c>
      <c r="H274" s="92">
        <v>14.91053</v>
      </c>
      <c r="I274" s="105">
        <v>-17.760100000000001</v>
      </c>
      <c r="J274" s="105">
        <v>-4.5123629999999997</v>
      </c>
      <c r="K274" s="106">
        <v>7.2692509999999997</v>
      </c>
      <c r="N274" s="4">
        <f>'R'!E272</f>
        <v>2.1738252982522904E-3</v>
      </c>
      <c r="O274" s="66">
        <f t="shared" si="6"/>
        <v>-8.7972340350695094E-2</v>
      </c>
      <c r="P274" s="3">
        <f t="shared" si="7"/>
        <v>3.2412887324349722E-2</v>
      </c>
      <c r="Q274" s="4">
        <f t="shared" si="8"/>
        <v>-3.8607354679490502E-2</v>
      </c>
      <c r="R274" s="4">
        <f t="shared" si="9"/>
        <v>-9.8090888442975994E-3</v>
      </c>
      <c r="S274" s="47">
        <f t="shared" si="10"/>
        <v>1.5802081723145761E-2</v>
      </c>
      <c r="V274" s="4">
        <f t="shared" si="16"/>
        <v>3.6363636363636364E-3</v>
      </c>
      <c r="W274" s="66">
        <f t="shared" si="11"/>
        <v>-0.14715967272727273</v>
      </c>
      <c r="X274" s="3">
        <f t="shared" si="12"/>
        <v>5.4220109090909088E-2</v>
      </c>
      <c r="Y274" s="4">
        <f t="shared" si="13"/>
        <v>-6.4582181818181816E-2</v>
      </c>
      <c r="Z274" s="4">
        <f t="shared" si="14"/>
        <v>-1.6408592727272728E-2</v>
      </c>
      <c r="AA274" s="47">
        <f t="shared" si="15"/>
        <v>2.6433639999999998E-2</v>
      </c>
    </row>
    <row r="275" spans="1:28" x14ac:dyDescent="0.35">
      <c r="A275" s="83" t="s">
        <v>246</v>
      </c>
      <c r="B275" s="84" t="s">
        <v>746</v>
      </c>
      <c r="C275" s="91" t="str">
        <f t="shared" si="5"/>
        <v>FRC US EQUITY</v>
      </c>
      <c r="D275" s="85">
        <v>0.13960954814003798</v>
      </c>
      <c r="E275" s="85">
        <v>0.86039045185996199</v>
      </c>
      <c r="F275" s="86">
        <f>_xlfn.XLOOKUP(Table225[[#This Row],[Ticker]],'R'!B:B,'R'!D:D,"not found")</f>
        <v>9650000000</v>
      </c>
      <c r="G275" s="87">
        <v>25.97071</v>
      </c>
      <c r="H275" s="92">
        <v>36.151159999999997</v>
      </c>
      <c r="I275" s="105">
        <v>1.0782959999999999</v>
      </c>
      <c r="J275" s="105">
        <v>-5.3176160000000001</v>
      </c>
      <c r="K275" s="106">
        <v>40.719520000000003</v>
      </c>
      <c r="N275" s="4">
        <f>'R'!E273</f>
        <v>1.1128601659487853E-3</v>
      </c>
      <c r="O275" s="66">
        <f t="shared" si="6"/>
        <v>2.890176864040778E-2</v>
      </c>
      <c r="P275" s="3">
        <f t="shared" si="7"/>
        <v>4.0231185916841085E-2</v>
      </c>
      <c r="Q275" s="4">
        <f t="shared" si="8"/>
        <v>1.1999926655019114E-3</v>
      </c>
      <c r="R275" s="4">
        <f t="shared" si="9"/>
        <v>-5.9177630242119158E-3</v>
      </c>
      <c r="S275" s="47">
        <f t="shared" si="10"/>
        <v>4.5315131784554888E-2</v>
      </c>
      <c r="V275" s="4">
        <f t="shared" si="16"/>
        <v>3.6363636363636364E-3</v>
      </c>
      <c r="W275" s="66">
        <f t="shared" si="11"/>
        <v>9.4438945454545453E-2</v>
      </c>
      <c r="X275" s="3">
        <f t="shared" si="12"/>
        <v>0.13145876363636363</v>
      </c>
      <c r="Y275" s="4">
        <f t="shared" si="13"/>
        <v>3.9210763636363631E-3</v>
      </c>
      <c r="Z275" s="4">
        <f t="shared" si="14"/>
        <v>-1.9336785454545456E-2</v>
      </c>
      <c r="AA275" s="47">
        <f t="shared" si="15"/>
        <v>0.14807098181818182</v>
      </c>
    </row>
    <row r="276" spans="1:28" x14ac:dyDescent="0.35">
      <c r="A276" s="83" t="s">
        <v>421</v>
      </c>
      <c r="B276" s="84" t="s">
        <v>916</v>
      </c>
      <c r="C276" s="91" t="str">
        <f t="shared" si="5"/>
        <v>STX US EQUITY</v>
      </c>
      <c r="D276" s="85">
        <v>0.45184495732698104</v>
      </c>
      <c r="E276" s="85">
        <v>0.54815504267301896</v>
      </c>
      <c r="F276" s="86">
        <f>_xlfn.XLOOKUP(Table225[[#This Row],[Ticker]],'R'!B:B,'R'!D:D,"not found")</f>
        <v>10960000000</v>
      </c>
      <c r="G276" s="87">
        <v>10.0525</v>
      </c>
      <c r="H276" s="92">
        <v>62.078330000000001</v>
      </c>
      <c r="I276" s="105">
        <v>-2.9365540000000001</v>
      </c>
      <c r="J276" s="105">
        <v>16.71265</v>
      </c>
      <c r="K276" s="106">
        <v>13.44284</v>
      </c>
      <c r="N276" s="4">
        <f>'R'!E274</f>
        <v>1.2639323750050454E-3</v>
      </c>
      <c r="O276" s="66">
        <f t="shared" si="6"/>
        <v>1.2705680199738219E-2</v>
      </c>
      <c r="P276" s="3">
        <f t="shared" si="7"/>
        <v>7.8462811073246957E-2</v>
      </c>
      <c r="Q276" s="4">
        <f t="shared" si="8"/>
        <v>-3.7116056715505662E-3</v>
      </c>
      <c r="R276" s="4">
        <f t="shared" si="9"/>
        <v>2.1123659407128074E-2</v>
      </c>
      <c r="S276" s="47">
        <f t="shared" si="10"/>
        <v>1.6990840688012824E-2</v>
      </c>
      <c r="V276" s="4">
        <f t="shared" si="16"/>
        <v>3.6363636363636364E-3</v>
      </c>
      <c r="W276" s="66">
        <f t="shared" si="11"/>
        <v>3.6554545454545458E-2</v>
      </c>
      <c r="X276" s="3">
        <f t="shared" si="12"/>
        <v>0.22573938181818182</v>
      </c>
      <c r="Y276" s="4">
        <f t="shared" si="13"/>
        <v>-1.0678378181818183E-2</v>
      </c>
      <c r="Z276" s="4">
        <f t="shared" si="14"/>
        <v>6.0773272727272724E-2</v>
      </c>
      <c r="AA276" s="47">
        <f t="shared" si="15"/>
        <v>4.8883054545454545E-2</v>
      </c>
    </row>
    <row r="277" spans="1:28" x14ac:dyDescent="0.35">
      <c r="A277" s="83" t="s">
        <v>47</v>
      </c>
      <c r="B277" s="84" t="s">
        <v>555</v>
      </c>
      <c r="C277" s="91" t="str">
        <f t="shared" si="5"/>
        <v>RJF US EQUITY</v>
      </c>
      <c r="D277" s="85">
        <v>0.39873784016746705</v>
      </c>
      <c r="E277" s="85">
        <v>0.60126215983253295</v>
      </c>
      <c r="F277" s="86">
        <f>_xlfn.XLOOKUP(Table225[[#This Row],[Ticker]],'R'!B:B,'R'!D:D,"not found")</f>
        <v>8330000000</v>
      </c>
      <c r="G277" s="87">
        <v>8.6959250000000008</v>
      </c>
      <c r="H277" s="92">
        <v>22.784140000000001</v>
      </c>
      <c r="I277" s="105">
        <v>-15.65072</v>
      </c>
      <c r="J277" s="105">
        <v>29.980119999999999</v>
      </c>
      <c r="K277" s="106">
        <v>21.29729</v>
      </c>
      <c r="N277" s="4">
        <f>'R'!E275</f>
        <v>9.6063473392263028E-4</v>
      </c>
      <c r="O277" s="66">
        <f t="shared" si="6"/>
        <v>8.3536075985861501E-3</v>
      </c>
      <c r="P277" s="3">
        <f t="shared" si="7"/>
        <v>2.1887236266555959E-2</v>
      </c>
      <c r="Q277" s="4">
        <f t="shared" si="8"/>
        <v>-1.5034625242897589E-2</v>
      </c>
      <c r="R277" s="4">
        <f t="shared" si="9"/>
        <v>2.8799944599168525E-2</v>
      </c>
      <c r="S277" s="47">
        <f t="shared" si="10"/>
        <v>2.0458916512423094E-2</v>
      </c>
      <c r="V277" s="4">
        <f t="shared" si="16"/>
        <v>3.6363636363636364E-3</v>
      </c>
      <c r="W277" s="66">
        <f t="shared" si="11"/>
        <v>3.1621545454545458E-2</v>
      </c>
      <c r="X277" s="3">
        <f t="shared" si="12"/>
        <v>8.2851418181818182E-2</v>
      </c>
      <c r="Y277" s="4">
        <f t="shared" si="13"/>
        <v>-5.6911709090909091E-2</v>
      </c>
      <c r="Z277" s="4">
        <f t="shared" si="14"/>
        <v>0.10901861818181818</v>
      </c>
      <c r="AA277" s="47">
        <f t="shared" si="15"/>
        <v>7.744469090909091E-2</v>
      </c>
    </row>
    <row r="278" spans="1:28" ht="16.5" thickBot="1" x14ac:dyDescent="0.55000000000000004">
      <c r="A278" s="83" t="s">
        <v>228</v>
      </c>
      <c r="B278" s="84" t="s">
        <v>729</v>
      </c>
      <c r="C278" s="91" t="str">
        <f t="shared" si="5"/>
        <v>EQR US EQUITY</v>
      </c>
      <c r="D278" s="85">
        <v>0.48280098415336942</v>
      </c>
      <c r="E278" s="85">
        <v>0.51719901584663064</v>
      </c>
      <c r="F278" s="99">
        <f>_xlfn.XLOOKUP(Table225[[#This Row],[Ticker]],'R'!B:B,'R'!D:D,"not found")</f>
        <v>29760000000</v>
      </c>
      <c r="G278" s="100">
        <v>-23.533639999999998</v>
      </c>
      <c r="H278" s="101">
        <v>26.147020000000001</v>
      </c>
      <c r="I278" s="107">
        <v>7.0735340000000004</v>
      </c>
      <c r="J278" s="107">
        <v>2.1945359999999998</v>
      </c>
      <c r="K278" s="108">
        <v>-5.0165829999999998</v>
      </c>
      <c r="N278" s="5">
        <f>'R'!E276</f>
        <v>3.4319915584078604E-3</v>
      </c>
      <c r="O278" s="67">
        <f t="shared" si="6"/>
        <v>-8.0767253818609552E-2</v>
      </c>
      <c r="P278" s="68">
        <f t="shared" si="7"/>
        <v>8.9736351917521495E-2</v>
      </c>
      <c r="Q278" s="69">
        <f t="shared" si="8"/>
        <v>2.4276308976110987E-2</v>
      </c>
      <c r="R278" s="69">
        <f t="shared" si="9"/>
        <v>7.5316290266221522E-3</v>
      </c>
      <c r="S278" s="70">
        <f t="shared" si="10"/>
        <v>-1.721687050805238E-2</v>
      </c>
      <c r="V278" s="5">
        <f t="shared" si="16"/>
        <v>3.6363636363636364E-3</v>
      </c>
      <c r="W278" s="67">
        <f t="shared" si="11"/>
        <v>-8.5576872727272726E-2</v>
      </c>
      <c r="X278" s="68">
        <f t="shared" si="12"/>
        <v>9.508007272727273E-2</v>
      </c>
      <c r="Y278" s="69">
        <f t="shared" si="13"/>
        <v>2.5721941818181819E-2</v>
      </c>
      <c r="Z278" s="69">
        <f t="shared" si="14"/>
        <v>7.9801309090909087E-3</v>
      </c>
      <c r="AA278" s="70">
        <f t="shared" si="15"/>
        <v>-1.8242120000000001E-2</v>
      </c>
    </row>
    <row r="279" spans="1:28" ht="15" thickBot="1" x14ac:dyDescent="0.4">
      <c r="M279" s="6" t="s">
        <v>1045</v>
      </c>
      <c r="N279" s="65">
        <f>SUM(N4:N278)</f>
        <v>0.99999999999999989</v>
      </c>
      <c r="O279" s="35">
        <f t="shared" ref="O279:S279" si="17">SUM(O4:O278)</f>
        <v>2.8665760973884788</v>
      </c>
      <c r="P279" s="35">
        <f t="shared" si="17"/>
        <v>25.824481439469508</v>
      </c>
      <c r="Q279" s="35">
        <f t="shared" si="17"/>
        <v>-7.5214128985849369</v>
      </c>
      <c r="R279" s="35">
        <f t="shared" si="17"/>
        <v>19.811041758699517</v>
      </c>
      <c r="S279" s="35">
        <f t="shared" si="17"/>
        <v>14.031828437554216</v>
      </c>
      <c r="T279"/>
      <c r="U279" s="6" t="s">
        <v>1045</v>
      </c>
      <c r="V279" s="65">
        <f>SUM(V4:V278)</f>
        <v>1.0000000000000047</v>
      </c>
      <c r="W279" s="35">
        <f t="shared" ref="W279:AA279" si="18">SUM(W4:W278)</f>
        <v>9.3142524529454587</v>
      </c>
      <c r="X279" s="35">
        <f t="shared" si="18"/>
        <v>30.776475262545425</v>
      </c>
      <c r="Y279" s="35">
        <f t="shared" si="18"/>
        <v>-8.0119978359636388</v>
      </c>
      <c r="Z279" s="35">
        <f t="shared" si="18"/>
        <v>23.572147140727282</v>
      </c>
      <c r="AA279" s="35">
        <f t="shared" si="18"/>
        <v>18.470638441309099</v>
      </c>
    </row>
    <row r="280" spans="1:28" x14ac:dyDescent="0.35">
      <c r="F280" s="42">
        <f>SUM(F4:F278)</f>
        <v>8671350000000</v>
      </c>
      <c r="O280" s="36">
        <f>P280*(1+(O279/100))</f>
        <v>1635.32302740419</v>
      </c>
      <c r="P280" s="37">
        <f>Q280*(1+(P279/100))</f>
        <v>1589.7515883642859</v>
      </c>
      <c r="Q280" s="37">
        <f>R280*(1+(Q279/100))</f>
        <v>1263.4676258364466</v>
      </c>
      <c r="R280" s="37">
        <f>S280*(1+(R279/100))</f>
        <v>1366.2272158752667</v>
      </c>
      <c r="S280" s="37">
        <f>T280*(1+(S279/100))</f>
        <v>1140.3182843755421</v>
      </c>
      <c r="T280" s="38">
        <v>1000</v>
      </c>
      <c r="W280" s="36">
        <f>X280*(1+(W279/100))</f>
        <v>1925.1692916264121</v>
      </c>
      <c r="X280" s="37">
        <f>Y280*(1+(X279/100))</f>
        <v>1761.1329249633804</v>
      </c>
      <c r="Y280" s="37">
        <f>Z280*(1+(Y279/100))</f>
        <v>1346.6741028367289</v>
      </c>
      <c r="Z280" s="37">
        <f>AA280*(1+(Z279/100))</f>
        <v>1463.9671165325349</v>
      </c>
      <c r="AA280" s="37">
        <f>AB280*(1+(AA279/100))</f>
        <v>1184.706384413091</v>
      </c>
      <c r="AB280" s="38">
        <v>1000</v>
      </c>
    </row>
    <row r="281" spans="1:28" ht="15" thickBot="1" x14ac:dyDescent="0.4">
      <c r="O281" s="39"/>
      <c r="P281" s="40"/>
      <c r="Q281" s="74" t="s">
        <v>1046</v>
      </c>
      <c r="R281" s="75"/>
      <c r="S281" s="75"/>
      <c r="T281" s="76"/>
      <c r="W281" s="39"/>
      <c r="X281" s="40"/>
      <c r="Y281" s="74" t="s">
        <v>1046</v>
      </c>
      <c r="Z281" s="75"/>
      <c r="AA281" s="75"/>
      <c r="AB281" s="76"/>
    </row>
  </sheetData>
  <mergeCells count="5">
    <mergeCell ref="G2:K2"/>
    <mergeCell ref="O2:S2"/>
    <mergeCell ref="W2:AA2"/>
    <mergeCell ref="Q281:T281"/>
    <mergeCell ref="Y281:AB28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A2257-2A8A-4FB0-982C-209BAE3C479F}">
  <sheetPr codeName="Sheet3"/>
  <dimension ref="A1:G22"/>
  <sheetViews>
    <sheetView tabSelected="1" zoomScale="80" zoomScaleNormal="80" workbookViewId="0">
      <selection activeCell="G17" sqref="G17"/>
    </sheetView>
  </sheetViews>
  <sheetFormatPr defaultColWidth="8.81640625" defaultRowHeight="14.5" x14ac:dyDescent="0.35"/>
  <cols>
    <col min="1" max="1" width="15.7265625" customWidth="1"/>
    <col min="2" max="2" width="10.453125" customWidth="1"/>
    <col min="3" max="3" width="10.26953125" customWidth="1"/>
    <col min="4" max="4" width="11.26953125" customWidth="1"/>
    <col min="5" max="5" width="12.81640625" customWidth="1"/>
    <col min="6" max="6" width="10.26953125" customWidth="1"/>
    <col min="7" max="7" width="11.81640625" customWidth="1"/>
  </cols>
  <sheetData>
    <row r="1" spans="1:7" x14ac:dyDescent="0.35">
      <c r="A1" s="43" t="s">
        <v>1003</v>
      </c>
      <c r="B1" s="44"/>
      <c r="C1" s="44"/>
      <c r="D1" s="44"/>
      <c r="E1" s="44"/>
      <c r="F1" s="44"/>
      <c r="G1" s="45"/>
    </row>
    <row r="2" spans="1:7" x14ac:dyDescent="0.35">
      <c r="A2" s="46"/>
      <c r="B2" s="32">
        <v>2020</v>
      </c>
      <c r="C2" s="32">
        <f>B2-1</f>
        <v>2019</v>
      </c>
      <c r="D2" s="32">
        <f t="shared" ref="D2:F2" si="0">C2-1</f>
        <v>2018</v>
      </c>
      <c r="E2" s="32">
        <f t="shared" si="0"/>
        <v>2017</v>
      </c>
      <c r="F2" s="32">
        <f t="shared" si="0"/>
        <v>2016</v>
      </c>
      <c r="G2" s="53" t="s">
        <v>1047</v>
      </c>
    </row>
    <row r="3" spans="1:7" x14ac:dyDescent="0.35">
      <c r="A3" s="62" t="s">
        <v>1005</v>
      </c>
      <c r="B3" s="48">
        <f>DEMS!O216</f>
        <v>2326.6430849916728</v>
      </c>
      <c r="C3" s="48">
        <f>DEMS!P216</f>
        <v>1882.5981763270013</v>
      </c>
      <c r="D3" s="48">
        <f>DEMS!Q216</f>
        <v>1378.9854684210925</v>
      </c>
      <c r="E3" s="48">
        <f>DEMS!R216</f>
        <v>1404.0468333757804</v>
      </c>
      <c r="F3" s="48">
        <f>DEMS!S216</f>
        <v>1107.4779311624254</v>
      </c>
      <c r="G3" s="64">
        <f>(B3/1000)^(1/5)-1</f>
        <v>0.1839843263958878</v>
      </c>
    </row>
    <row r="4" spans="1:7" x14ac:dyDescent="0.35">
      <c r="A4" s="62" t="s">
        <v>1006</v>
      </c>
      <c r="B4" s="48">
        <f>REPUBS!O280</f>
        <v>1635.32302740419</v>
      </c>
      <c r="C4" s="48">
        <f>REPUBS!P280</f>
        <v>1589.7515883642859</v>
      </c>
      <c r="D4" s="48">
        <f>REPUBS!Q280</f>
        <v>1263.4676258364466</v>
      </c>
      <c r="E4" s="48">
        <f>REPUBS!R280</f>
        <v>1366.2272158752667</v>
      </c>
      <c r="F4" s="48">
        <f>REPUBS!S280</f>
        <v>1140.3182843755421</v>
      </c>
      <c r="G4" s="64">
        <f>(B4/1000)^(1/5)-1</f>
        <v>0.1033688284704315</v>
      </c>
    </row>
    <row r="5" spans="1:7" x14ac:dyDescent="0.35">
      <c r="A5" s="62" t="s">
        <v>1008</v>
      </c>
      <c r="B5" s="3">
        <f>B22</f>
        <v>1819.9295165032452</v>
      </c>
      <c r="C5" s="3">
        <f t="shared" ref="C5:F5" si="1">C22</f>
        <v>1537.492199462064</v>
      </c>
      <c r="D5" s="3">
        <f t="shared" si="1"/>
        <v>1171.6904431200001</v>
      </c>
      <c r="E5" s="3">
        <f t="shared" si="1"/>
        <v>1227.6723</v>
      </c>
      <c r="F5" s="3">
        <f t="shared" si="1"/>
        <v>1077</v>
      </c>
      <c r="G5" s="64">
        <f>(B5/1000)^(1/5)-1</f>
        <v>0.12722578277001917</v>
      </c>
    </row>
    <row r="6" spans="1:7" ht="15" thickBot="1" x14ac:dyDescent="0.4">
      <c r="A6" s="49"/>
      <c r="B6" s="50"/>
      <c r="C6" s="50"/>
      <c r="D6" s="50"/>
      <c r="E6" s="50"/>
      <c r="F6" s="51"/>
      <c r="G6" s="52"/>
    </row>
    <row r="7" spans="1:7" x14ac:dyDescent="0.35">
      <c r="A7" s="43" t="s">
        <v>1004</v>
      </c>
      <c r="B7" s="44"/>
      <c r="C7" s="44"/>
      <c r="D7" s="44"/>
      <c r="E7" s="44"/>
      <c r="F7" s="44"/>
      <c r="G7" s="45"/>
    </row>
    <row r="8" spans="1:7" x14ac:dyDescent="0.35">
      <c r="A8" s="46"/>
      <c r="B8" s="32">
        <f>B2</f>
        <v>2020</v>
      </c>
      <c r="C8" s="32">
        <f t="shared" ref="C8:F8" si="2">C2</f>
        <v>2019</v>
      </c>
      <c r="D8" s="32">
        <f t="shared" si="2"/>
        <v>2018</v>
      </c>
      <c r="E8" s="32">
        <f t="shared" si="2"/>
        <v>2017</v>
      </c>
      <c r="F8" s="32">
        <f t="shared" si="2"/>
        <v>2016</v>
      </c>
      <c r="G8" s="53" t="s">
        <v>1047</v>
      </c>
    </row>
    <row r="9" spans="1:7" x14ac:dyDescent="0.35">
      <c r="A9" s="62" t="s">
        <v>1005</v>
      </c>
      <c r="B9" s="3">
        <f>DEMS!W216</f>
        <v>2393.8170342771773</v>
      </c>
      <c r="C9" s="3">
        <f>DEMS!X216</f>
        <v>1952.0412388193229</v>
      </c>
      <c r="D9" s="3">
        <f>DEMS!Y216</f>
        <v>1458.7467310659426</v>
      </c>
      <c r="E9" s="3">
        <f>DEMS!Z216</f>
        <v>1464.0846678942326</v>
      </c>
      <c r="F9" s="3">
        <f>DEMS!AA216</f>
        <v>1152.9475931810427</v>
      </c>
      <c r="G9" s="64">
        <f t="shared" ref="G9:G11" si="3">(B9/1000)^(1/5)-1</f>
        <v>0.19074342087106677</v>
      </c>
    </row>
    <row r="10" spans="1:7" x14ac:dyDescent="0.35">
      <c r="A10" s="62" t="s">
        <v>1006</v>
      </c>
      <c r="B10" s="3">
        <f>REPUBS!W280</f>
        <v>1925.1692916264121</v>
      </c>
      <c r="C10" s="3">
        <f>REPUBS!X280</f>
        <v>1761.1329249633804</v>
      </c>
      <c r="D10" s="3">
        <f>REPUBS!Y280</f>
        <v>1346.6741028367289</v>
      </c>
      <c r="E10" s="3">
        <f>REPUBS!Z280</f>
        <v>1463.9671165325349</v>
      </c>
      <c r="F10" s="3">
        <f>REPUBS!AA280</f>
        <v>1184.706384413091</v>
      </c>
      <c r="G10" s="64">
        <f t="shared" si="3"/>
        <v>0.13997095215387412</v>
      </c>
    </row>
    <row r="11" spans="1:7" ht="15" thickBot="1" x14ac:dyDescent="0.4">
      <c r="A11" s="63" t="s">
        <v>1008</v>
      </c>
      <c r="B11" s="54">
        <f>B22</f>
        <v>1819.9295165032452</v>
      </c>
      <c r="C11" s="54">
        <f t="shared" ref="C11:F11" si="4">C22</f>
        <v>1537.492199462064</v>
      </c>
      <c r="D11" s="54">
        <f t="shared" si="4"/>
        <v>1171.6904431200001</v>
      </c>
      <c r="E11" s="54">
        <f t="shared" si="4"/>
        <v>1227.6723</v>
      </c>
      <c r="F11" s="54">
        <f t="shared" si="4"/>
        <v>1077</v>
      </c>
      <c r="G11" s="109">
        <f t="shared" si="3"/>
        <v>0.12722578277001917</v>
      </c>
    </row>
    <row r="13" spans="1:7" ht="15" thickBot="1" x14ac:dyDescent="0.4"/>
    <row r="14" spans="1:7" x14ac:dyDescent="0.35">
      <c r="A14" s="43" t="s">
        <v>1007</v>
      </c>
      <c r="B14" s="44"/>
      <c r="C14" s="45"/>
    </row>
    <row r="15" spans="1:7" x14ac:dyDescent="0.35">
      <c r="A15" s="62" t="s">
        <v>1005</v>
      </c>
      <c r="B15" s="3">
        <v>211</v>
      </c>
      <c r="C15" s="55">
        <f>B15/B17</f>
        <v>0.43415637860082307</v>
      </c>
    </row>
    <row r="16" spans="1:7" ht="16" x14ac:dyDescent="0.5">
      <c r="A16" s="62" t="s">
        <v>1006</v>
      </c>
      <c r="B16" s="7">
        <v>275</v>
      </c>
      <c r="C16" s="56">
        <f>B16/B17</f>
        <v>0.56584362139917699</v>
      </c>
    </row>
    <row r="17" spans="1:7" ht="15" thickBot="1" x14ac:dyDescent="0.4">
      <c r="A17" s="49"/>
      <c r="B17" s="54">
        <f>SUM(B15:B16)</f>
        <v>486</v>
      </c>
      <c r="C17" s="57">
        <f>SUM(C15:C16)</f>
        <v>1</v>
      </c>
    </row>
    <row r="18" spans="1:7" ht="15" thickBot="1" x14ac:dyDescent="0.4"/>
    <row r="19" spans="1:7" x14ac:dyDescent="0.35">
      <c r="A19" s="58"/>
      <c r="B19" s="44">
        <v>2020</v>
      </c>
      <c r="C19" s="44">
        <v>2019</v>
      </c>
      <c r="D19" s="44">
        <v>2018</v>
      </c>
      <c r="E19" s="44">
        <v>2017</v>
      </c>
      <c r="F19" s="44">
        <v>2016</v>
      </c>
      <c r="G19" s="59">
        <v>42369</v>
      </c>
    </row>
    <row r="20" spans="1:7" x14ac:dyDescent="0.35">
      <c r="A20" s="62" t="s">
        <v>1008</v>
      </c>
      <c r="B20" s="4">
        <v>373.88</v>
      </c>
      <c r="C20" s="4">
        <v>321.86</v>
      </c>
      <c r="D20" s="4">
        <v>249.92</v>
      </c>
      <c r="E20" s="4">
        <v>266.86</v>
      </c>
      <c r="F20" s="4">
        <v>223.53</v>
      </c>
      <c r="G20" s="47">
        <v>203.87</v>
      </c>
    </row>
    <row r="21" spans="1:7" x14ac:dyDescent="0.35">
      <c r="A21" s="46"/>
      <c r="B21" s="11">
        <v>0.1837</v>
      </c>
      <c r="C21" s="11">
        <v>0.31219999999999998</v>
      </c>
      <c r="D21" s="11">
        <v>-4.5600000000000002E-2</v>
      </c>
      <c r="E21" s="11">
        <v>0.1399</v>
      </c>
      <c r="F21" s="11">
        <v>7.6999999999999999E-2</v>
      </c>
      <c r="G21" s="47"/>
    </row>
    <row r="22" spans="1:7" ht="15" thickBot="1" x14ac:dyDescent="0.4">
      <c r="A22" s="49"/>
      <c r="B22" s="60">
        <f>C22*(1+B21)</f>
        <v>1819.9295165032452</v>
      </c>
      <c r="C22" s="60">
        <f>D22*(1+C21)</f>
        <v>1537.492199462064</v>
      </c>
      <c r="D22" s="60">
        <f>E22*(1+D21)</f>
        <v>1171.6904431200001</v>
      </c>
      <c r="E22" s="60">
        <f>F22*(1+E21)</f>
        <v>1227.6723</v>
      </c>
      <c r="F22" s="60">
        <f>G22*(1+F21)</f>
        <v>1077</v>
      </c>
      <c r="G22" s="61">
        <v>1000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D852-0F9E-4748-99DF-C9862C4A5FF7}">
  <sheetPr codeName="Sheet4"/>
  <dimension ref="A1:H23"/>
  <sheetViews>
    <sheetView workbookViewId="0">
      <selection activeCell="H7" sqref="H7"/>
    </sheetView>
  </sheetViews>
  <sheetFormatPr defaultColWidth="8.81640625" defaultRowHeight="14.5" x14ac:dyDescent="0.35"/>
  <cols>
    <col min="1" max="1" width="20.453125" customWidth="1"/>
    <col min="3" max="3" width="18.1796875" customWidth="1"/>
    <col min="6" max="6" width="29.7265625" customWidth="1"/>
    <col min="7" max="7" width="18.1796875" customWidth="1"/>
    <col min="8" max="8" width="17.453125" customWidth="1"/>
  </cols>
  <sheetData>
    <row r="1" spans="1:8" x14ac:dyDescent="0.35">
      <c r="A1" t="s">
        <v>0</v>
      </c>
      <c r="B1" t="s">
        <v>1</v>
      </c>
      <c r="C1" t="s">
        <v>1034</v>
      </c>
      <c r="E1" t="s">
        <v>0</v>
      </c>
      <c r="F1" t="s">
        <v>1037</v>
      </c>
      <c r="G1" t="s">
        <v>1034</v>
      </c>
    </row>
    <row r="2" spans="1:8" x14ac:dyDescent="0.35">
      <c r="A2" t="s">
        <v>100</v>
      </c>
      <c r="B2" s="1" t="s">
        <v>604</v>
      </c>
      <c r="C2" t="e">
        <f>_xlfn.XLOOKUP(B2,NI!B:B,NI!D:D,"not found")</f>
        <v>#VALUE!</v>
      </c>
      <c r="E2" s="12" t="s">
        <v>1024</v>
      </c>
      <c r="F2" s="12" t="s">
        <v>1025</v>
      </c>
      <c r="G2" s="18">
        <v>10770000000</v>
      </c>
      <c r="H2" s="13"/>
    </row>
    <row r="3" spans="1:8" x14ac:dyDescent="0.35">
      <c r="A3" t="s">
        <v>484</v>
      </c>
      <c r="B3" s="1" t="s">
        <v>485</v>
      </c>
      <c r="C3" t="e">
        <f>_xlfn.XLOOKUP(B3,NI!B:B,NI!D:D,"not found")</f>
        <v>#VALUE!</v>
      </c>
      <c r="E3" s="12" t="s">
        <v>1026</v>
      </c>
      <c r="F3" s="12" t="s">
        <v>73</v>
      </c>
      <c r="G3" s="18" t="e">
        <v>#VALUE!</v>
      </c>
      <c r="H3" s="13"/>
    </row>
    <row r="4" spans="1:8" x14ac:dyDescent="0.35">
      <c r="A4" t="s">
        <v>23</v>
      </c>
      <c r="B4" s="1" t="s">
        <v>534</v>
      </c>
      <c r="C4" t="e">
        <f>_xlfn.XLOOKUP(B4,NI!B:B,NI!D:D,"not found")</f>
        <v>#VALUE!</v>
      </c>
      <c r="E4" s="12" t="s">
        <v>1028</v>
      </c>
      <c r="F4" s="12" t="s">
        <v>1029</v>
      </c>
      <c r="G4" s="18">
        <v>528169999999.99994</v>
      </c>
      <c r="H4" s="13"/>
    </row>
    <row r="5" spans="1:8" x14ac:dyDescent="0.35">
      <c r="A5" t="s">
        <v>153</v>
      </c>
      <c r="B5" s="1" t="s">
        <v>657</v>
      </c>
      <c r="C5" t="e">
        <f>_xlfn.XLOOKUP(B5,NI!B:B,NI!D:D,"not found")</f>
        <v>#VALUE!</v>
      </c>
      <c r="E5" s="12" t="s">
        <v>1030</v>
      </c>
      <c r="F5" s="12" t="s">
        <v>1031</v>
      </c>
      <c r="G5" s="18">
        <v>7890000000</v>
      </c>
      <c r="H5" s="13"/>
    </row>
    <row r="6" spans="1:8" x14ac:dyDescent="0.35">
      <c r="A6" t="s">
        <v>281</v>
      </c>
      <c r="B6" s="1" t="s">
        <v>779</v>
      </c>
      <c r="C6" t="e">
        <f>_xlfn.XLOOKUP(B6,NI!B:B,NI!D:D,"not found")</f>
        <v>#VALUE!</v>
      </c>
      <c r="E6" s="12" t="s">
        <v>1032</v>
      </c>
      <c r="F6" s="12" t="s">
        <v>1033</v>
      </c>
      <c r="G6" s="18">
        <v>26070000000</v>
      </c>
      <c r="H6" s="19" t="s">
        <v>1038</v>
      </c>
    </row>
    <row r="7" spans="1:8" x14ac:dyDescent="0.35">
      <c r="A7" t="s">
        <v>253</v>
      </c>
      <c r="B7" s="1" t="s">
        <v>751</v>
      </c>
      <c r="C7" t="e">
        <f>_xlfn.XLOOKUP(B7,NI!B:B,NI!D:D,"not found")</f>
        <v>#VALUE!</v>
      </c>
    </row>
    <row r="8" spans="1:8" x14ac:dyDescent="0.35">
      <c r="A8" t="s">
        <v>214</v>
      </c>
      <c r="B8" s="1" t="s">
        <v>716</v>
      </c>
      <c r="C8" s="13">
        <f>_xlfn.XLOOKUP(B8,NI!B:B,NI!D:D,"not found")</f>
        <v>4540000000</v>
      </c>
    </row>
    <row r="9" spans="1:8" x14ac:dyDescent="0.35">
      <c r="A9" t="s">
        <v>45</v>
      </c>
      <c r="B9" s="1" t="s">
        <v>46</v>
      </c>
      <c r="C9" t="e">
        <f>_xlfn.XLOOKUP(B9,NI!B:B,NI!D:D,"not found")</f>
        <v>#VALUE!</v>
      </c>
    </row>
    <row r="10" spans="1:8" x14ac:dyDescent="0.35">
      <c r="A10" t="s">
        <v>63</v>
      </c>
      <c r="B10" s="1" t="s">
        <v>570</v>
      </c>
      <c r="C10" s="13">
        <f>_xlfn.XLOOKUP(B10,NI!B:B,NI!D:D,"not found")</f>
        <v>20910000000</v>
      </c>
    </row>
    <row r="11" spans="1:8" x14ac:dyDescent="0.35">
      <c r="A11" t="s">
        <v>453</v>
      </c>
      <c r="B11" s="1" t="s">
        <v>454</v>
      </c>
      <c r="C11" t="e">
        <f>_xlfn.XLOOKUP(B11,NI!B:B,NI!D:D,"not found")</f>
        <v>#VALUE!</v>
      </c>
    </row>
    <row r="12" spans="1:8" x14ac:dyDescent="0.35">
      <c r="A12" t="s">
        <v>135</v>
      </c>
      <c r="B12" s="1" t="s">
        <v>639</v>
      </c>
      <c r="C12" s="13">
        <f>_xlfn.XLOOKUP(B12,NI!B:B,NI!D:D,"not found")</f>
        <v>325280000000</v>
      </c>
    </row>
    <row r="13" spans="1:8" x14ac:dyDescent="0.35">
      <c r="A13" t="s">
        <v>5</v>
      </c>
      <c r="B13" s="1" t="s">
        <v>517</v>
      </c>
      <c r="C13" t="e">
        <f>_xlfn.XLOOKUP(B13,NI!B:B,NI!D:D,"not found")</f>
        <v>#VALUE!</v>
      </c>
    </row>
    <row r="14" spans="1:8" x14ac:dyDescent="0.35">
      <c r="A14" t="s">
        <v>289</v>
      </c>
      <c r="B14" s="1" t="s">
        <v>786</v>
      </c>
      <c r="C14" t="e">
        <f>_xlfn.XLOOKUP(B14,NI!B:B,NI!D:D,"not found")</f>
        <v>#VALUE!</v>
      </c>
    </row>
    <row r="15" spans="1:8" x14ac:dyDescent="0.35">
      <c r="A15" t="s">
        <v>191</v>
      </c>
      <c r="B15" s="1" t="s">
        <v>693</v>
      </c>
      <c r="C15" t="e">
        <f>_xlfn.XLOOKUP(B15,NI!B:B,NI!D:D,"not found")</f>
        <v>#VALUE!</v>
      </c>
    </row>
    <row r="16" spans="1:8" x14ac:dyDescent="0.35">
      <c r="A16" t="s">
        <v>72</v>
      </c>
      <c r="B16" s="1" t="s">
        <v>72</v>
      </c>
      <c r="C16" t="e">
        <f>_xlfn.XLOOKUP(B16,NI!B:B,NI!D:D,"not found")</f>
        <v>#VALUE!</v>
      </c>
    </row>
    <row r="17" spans="1:3" x14ac:dyDescent="0.35">
      <c r="A17" t="s">
        <v>73</v>
      </c>
      <c r="B17" s="1" t="s">
        <v>578</v>
      </c>
      <c r="C17" t="e">
        <f>_xlfn.XLOOKUP(B17,NI!B:B,NI!D:D,"not found")</f>
        <v>#VALUE!</v>
      </c>
    </row>
    <row r="18" spans="1:3" x14ac:dyDescent="0.35">
      <c r="A18" t="s">
        <v>248</v>
      </c>
      <c r="B18" s="1" t="s">
        <v>748</v>
      </c>
      <c r="C18" t="e">
        <f>_xlfn.XLOOKUP(B18,NI!B:B,NI!D:D,"not found")</f>
        <v>#VALUE!</v>
      </c>
    </row>
    <row r="19" spans="1:3" x14ac:dyDescent="0.35">
      <c r="A19" t="s">
        <v>184</v>
      </c>
      <c r="B19" s="1" t="s">
        <v>185</v>
      </c>
      <c r="C19" t="e">
        <f>_xlfn.XLOOKUP(B19,NI!B:B,NI!D:D,"not found")</f>
        <v>#VALUE!</v>
      </c>
    </row>
    <row r="22" spans="1:3" x14ac:dyDescent="0.35">
      <c r="A22" t="s">
        <v>1010</v>
      </c>
    </row>
    <row r="23" spans="1:3" x14ac:dyDescent="0.35">
      <c r="A23" t="s">
        <v>1011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5F7B1-DAEB-42DF-A671-8F3FBA6BE29C}">
  <sheetPr codeName="Sheet5"/>
  <dimension ref="A1:E213"/>
  <sheetViews>
    <sheetView workbookViewId="0">
      <selection activeCell="E213" sqref="E213"/>
    </sheetView>
  </sheetViews>
  <sheetFormatPr defaultColWidth="8.81640625" defaultRowHeight="14.5" x14ac:dyDescent="0.35"/>
  <cols>
    <col min="1" max="1" width="27.1796875" customWidth="1"/>
    <col min="4" max="4" width="26.54296875" customWidth="1"/>
  </cols>
  <sheetData>
    <row r="1" spans="1:5" x14ac:dyDescent="0.35">
      <c r="A1" t="s">
        <v>0</v>
      </c>
      <c r="B1" t="s">
        <v>1</v>
      </c>
      <c r="C1" t="s">
        <v>1034</v>
      </c>
      <c r="D1" t="s">
        <v>1036</v>
      </c>
    </row>
    <row r="2" spans="1:5" x14ac:dyDescent="0.35">
      <c r="A2" t="s">
        <v>131</v>
      </c>
      <c r="B2" t="s">
        <v>635</v>
      </c>
      <c r="C2">
        <v>174.7</v>
      </c>
      <c r="D2" s="13">
        <f>C2*1000000000</f>
        <v>174700000000</v>
      </c>
      <c r="E2">
        <f>D2/$D$213</f>
        <v>1.9352805902123255E-2</v>
      </c>
    </row>
    <row r="3" spans="1:5" x14ac:dyDescent="0.35">
      <c r="A3" t="s">
        <v>97</v>
      </c>
      <c r="B3" t="s">
        <v>601</v>
      </c>
      <c r="C3">
        <v>528.16999999999996</v>
      </c>
      <c r="D3" s="13">
        <f t="shared" ref="D3:D66" si="0">C3*1000000000</f>
        <v>528169999999.99994</v>
      </c>
      <c r="E3">
        <f t="shared" ref="E3:E66" si="1">D3/$D$213</f>
        <v>5.8509281587432384E-2</v>
      </c>
    </row>
    <row r="4" spans="1:5" x14ac:dyDescent="0.35">
      <c r="A4" t="s">
        <v>181</v>
      </c>
      <c r="B4" t="s">
        <v>685</v>
      </c>
      <c r="C4">
        <v>137.56</v>
      </c>
      <c r="D4" s="13">
        <f t="shared" si="0"/>
        <v>137560000000</v>
      </c>
      <c r="E4">
        <f t="shared" si="1"/>
        <v>1.5238534515718802E-2</v>
      </c>
    </row>
    <row r="5" spans="1:5" x14ac:dyDescent="0.35">
      <c r="A5" t="s">
        <v>240</v>
      </c>
      <c r="B5" t="s">
        <v>740</v>
      </c>
      <c r="C5">
        <v>296.61</v>
      </c>
      <c r="D5" s="13">
        <f t="shared" si="0"/>
        <v>296610000000</v>
      </c>
      <c r="E5">
        <f t="shared" si="1"/>
        <v>3.2857674634394839E-2</v>
      </c>
    </row>
    <row r="6" spans="1:5" x14ac:dyDescent="0.35">
      <c r="A6" t="s">
        <v>346</v>
      </c>
      <c r="B6" t="s">
        <v>843</v>
      </c>
      <c r="C6">
        <v>439.68</v>
      </c>
      <c r="D6" s="13">
        <f t="shared" si="0"/>
        <v>439680000000</v>
      </c>
      <c r="E6">
        <f t="shared" si="1"/>
        <v>4.8706592438726687E-2</v>
      </c>
    </row>
    <row r="7" spans="1:5" x14ac:dyDescent="0.35">
      <c r="A7" t="s">
        <v>113</v>
      </c>
      <c r="B7" t="s">
        <v>617</v>
      </c>
      <c r="C7">
        <v>36.43</v>
      </c>
      <c r="D7" s="13">
        <f t="shared" si="0"/>
        <v>36430000000</v>
      </c>
      <c r="E7">
        <f t="shared" si="1"/>
        <v>4.0356194562927881E-3</v>
      </c>
    </row>
    <row r="8" spans="1:5" x14ac:dyDescent="0.35">
      <c r="A8" t="s">
        <v>266</v>
      </c>
      <c r="B8" t="s">
        <v>764</v>
      </c>
      <c r="C8">
        <v>75.599999999999994</v>
      </c>
      <c r="D8" s="13">
        <f t="shared" si="0"/>
        <v>75600000000</v>
      </c>
      <c r="E8">
        <f t="shared" si="1"/>
        <v>8.3747688963967826E-3</v>
      </c>
    </row>
    <row r="9" spans="1:5" x14ac:dyDescent="0.35">
      <c r="A9" t="s">
        <v>490</v>
      </c>
      <c r="B9" t="s">
        <v>974</v>
      </c>
      <c r="C9">
        <v>173.72</v>
      </c>
      <c r="D9" s="13">
        <f t="shared" si="0"/>
        <v>173720000000</v>
      </c>
      <c r="E9">
        <f t="shared" si="1"/>
        <v>1.9244244083095888E-2</v>
      </c>
    </row>
    <row r="10" spans="1:5" x14ac:dyDescent="0.35">
      <c r="A10" t="s">
        <v>99</v>
      </c>
      <c r="B10" t="s">
        <v>603</v>
      </c>
      <c r="C10">
        <v>318.33999999999997</v>
      </c>
      <c r="D10" s="13">
        <f t="shared" si="0"/>
        <v>318340000000</v>
      </c>
      <c r="E10">
        <f t="shared" si="1"/>
        <v>3.5264866805277142E-2</v>
      </c>
    </row>
    <row r="11" spans="1:5" x14ac:dyDescent="0.35">
      <c r="A11" t="s">
        <v>357</v>
      </c>
      <c r="B11" t="s">
        <v>853</v>
      </c>
      <c r="C11">
        <v>48.95</v>
      </c>
      <c r="D11" s="13">
        <f t="shared" si="0"/>
        <v>48950000000</v>
      </c>
      <c r="E11">
        <f t="shared" si="1"/>
        <v>5.4225520830505627E-3</v>
      </c>
    </row>
    <row r="12" spans="1:5" x14ac:dyDescent="0.35">
      <c r="A12" t="s">
        <v>235</v>
      </c>
      <c r="B12" t="s">
        <v>735</v>
      </c>
      <c r="C12">
        <v>25.55</v>
      </c>
      <c r="D12" s="13">
        <f t="shared" si="0"/>
        <v>25550000000</v>
      </c>
      <c r="E12">
        <f t="shared" si="1"/>
        <v>2.8303617103563202E-3</v>
      </c>
    </row>
    <row r="13" spans="1:5" x14ac:dyDescent="0.35">
      <c r="A13" t="s">
        <v>305</v>
      </c>
      <c r="B13" t="s">
        <v>802</v>
      </c>
      <c r="C13">
        <v>241.9</v>
      </c>
      <c r="D13" s="13">
        <f t="shared" si="0"/>
        <v>241900000000</v>
      </c>
      <c r="E13">
        <f t="shared" si="1"/>
        <v>2.6797044921142616E-2</v>
      </c>
    </row>
    <row r="14" spans="1:5" x14ac:dyDescent="0.35">
      <c r="A14" t="s">
        <v>478</v>
      </c>
      <c r="B14" t="s">
        <v>964</v>
      </c>
      <c r="C14">
        <v>188.26</v>
      </c>
      <c r="D14" s="13">
        <f t="shared" si="0"/>
        <v>188260000000</v>
      </c>
      <c r="E14">
        <f t="shared" si="1"/>
        <v>2.0854946989889663E-2</v>
      </c>
    </row>
    <row r="15" spans="1:5" x14ac:dyDescent="0.35">
      <c r="A15" t="s">
        <v>172</v>
      </c>
      <c r="B15" t="s">
        <v>676</v>
      </c>
      <c r="C15">
        <v>152.83000000000001</v>
      </c>
      <c r="D15" s="13">
        <f t="shared" si="0"/>
        <v>152830000000</v>
      </c>
      <c r="E15">
        <f t="shared" si="1"/>
        <v>1.6930104899951327E-2</v>
      </c>
    </row>
    <row r="16" spans="1:5" x14ac:dyDescent="0.35">
      <c r="A16" t="s">
        <v>290</v>
      </c>
      <c r="B16" t="s">
        <v>787</v>
      </c>
      <c r="C16">
        <v>162.78</v>
      </c>
      <c r="D16" s="13">
        <f t="shared" si="0"/>
        <v>162780000000</v>
      </c>
      <c r="E16">
        <f t="shared" si="1"/>
        <v>1.8032339695178153E-2</v>
      </c>
    </row>
    <row r="17" spans="1:5" x14ac:dyDescent="0.35">
      <c r="A17" t="s">
        <v>102</v>
      </c>
      <c r="B17" t="s">
        <v>606</v>
      </c>
      <c r="C17">
        <v>26.45</v>
      </c>
      <c r="D17" s="13">
        <f t="shared" si="0"/>
        <v>26450000000</v>
      </c>
      <c r="E17">
        <f t="shared" si="1"/>
        <v>2.9300613400753293E-3</v>
      </c>
    </row>
    <row r="18" spans="1:5" x14ac:dyDescent="0.35">
      <c r="A18" t="s">
        <v>207</v>
      </c>
      <c r="B18" t="s">
        <v>709</v>
      </c>
      <c r="C18">
        <v>26.51</v>
      </c>
      <c r="D18" s="13">
        <f t="shared" si="0"/>
        <v>26510000000</v>
      </c>
      <c r="E18">
        <f t="shared" si="1"/>
        <v>2.9367079820565968E-3</v>
      </c>
    </row>
    <row r="19" spans="1:5" x14ac:dyDescent="0.35">
      <c r="A19" t="s">
        <v>139</v>
      </c>
      <c r="B19" t="s">
        <v>643</v>
      </c>
      <c r="C19">
        <v>55.66</v>
      </c>
      <c r="D19" s="13">
        <f t="shared" si="0"/>
        <v>55660000000</v>
      </c>
      <c r="E19">
        <f t="shared" si="1"/>
        <v>6.1658682112889539E-3</v>
      </c>
    </row>
    <row r="20" spans="1:5" x14ac:dyDescent="0.35">
      <c r="A20" t="s">
        <v>157</v>
      </c>
      <c r="B20" t="s">
        <v>661</v>
      </c>
      <c r="C20">
        <v>7.92</v>
      </c>
      <c r="D20" s="13">
        <f t="shared" si="0"/>
        <v>7920000000</v>
      </c>
      <c r="E20">
        <f t="shared" si="1"/>
        <v>8.7735674152728199E-4</v>
      </c>
    </row>
    <row r="21" spans="1:5" x14ac:dyDescent="0.35">
      <c r="A21" t="s">
        <v>400</v>
      </c>
      <c r="B21" t="s">
        <v>896</v>
      </c>
      <c r="C21">
        <v>36.4</v>
      </c>
      <c r="D21" s="13">
        <f t="shared" si="0"/>
        <v>36400000000</v>
      </c>
      <c r="E21">
        <f t="shared" si="1"/>
        <v>4.0322961353021552E-3</v>
      </c>
    </row>
    <row r="22" spans="1:5" x14ac:dyDescent="0.35">
      <c r="A22" t="s">
        <v>1012</v>
      </c>
      <c r="B22" t="s">
        <v>913</v>
      </c>
      <c r="C22">
        <v>52.06</v>
      </c>
      <c r="D22" s="13">
        <f t="shared" si="0"/>
        <v>52060000000</v>
      </c>
      <c r="E22">
        <f t="shared" si="1"/>
        <v>5.7670696924129166E-3</v>
      </c>
    </row>
    <row r="23" spans="1:5" x14ac:dyDescent="0.35">
      <c r="A23" t="s">
        <v>387</v>
      </c>
      <c r="B23" t="s">
        <v>883</v>
      </c>
      <c r="C23">
        <v>144.68</v>
      </c>
      <c r="D23" s="13">
        <f t="shared" si="0"/>
        <v>144680000000</v>
      </c>
      <c r="E23">
        <f t="shared" si="1"/>
        <v>1.602726936416252E-2</v>
      </c>
    </row>
    <row r="24" spans="1:5" x14ac:dyDescent="0.35">
      <c r="A24" t="s">
        <v>456</v>
      </c>
      <c r="B24" t="s">
        <v>944</v>
      </c>
      <c r="C24">
        <v>32.020000000000003</v>
      </c>
      <c r="D24" s="13">
        <f t="shared" si="0"/>
        <v>32020000000.000004</v>
      </c>
      <c r="E24">
        <f t="shared" si="1"/>
        <v>3.547091270669643E-3</v>
      </c>
    </row>
    <row r="25" spans="1:5" x14ac:dyDescent="0.35">
      <c r="A25" t="s">
        <v>104</v>
      </c>
      <c r="B25" t="s">
        <v>608</v>
      </c>
      <c r="C25">
        <v>67.39</v>
      </c>
      <c r="D25" s="13">
        <f t="shared" si="0"/>
        <v>67390000000</v>
      </c>
      <c r="E25">
        <f t="shared" si="1"/>
        <v>7.4652867186267092E-3</v>
      </c>
    </row>
    <row r="26" spans="1:5" x14ac:dyDescent="0.35">
      <c r="A26" t="s">
        <v>327</v>
      </c>
      <c r="B26" t="s">
        <v>824</v>
      </c>
      <c r="C26">
        <v>13.05</v>
      </c>
      <c r="D26" s="13">
        <f t="shared" si="0"/>
        <v>13050000000</v>
      </c>
      <c r="E26">
        <f t="shared" si="1"/>
        <v>1.4456446309256351E-3</v>
      </c>
    </row>
    <row r="27" spans="1:5" x14ac:dyDescent="0.35">
      <c r="A27" t="s">
        <v>469</v>
      </c>
      <c r="B27" t="s">
        <v>956</v>
      </c>
      <c r="C27">
        <v>20.89</v>
      </c>
      <c r="D27" s="13">
        <f t="shared" si="0"/>
        <v>20890000000</v>
      </c>
      <c r="E27">
        <f t="shared" si="1"/>
        <v>2.3141391831445609E-3</v>
      </c>
    </row>
    <row r="28" spans="1:5" x14ac:dyDescent="0.35">
      <c r="A28" t="s">
        <v>65</v>
      </c>
      <c r="B28" t="s">
        <v>572</v>
      </c>
      <c r="C28">
        <v>74.73</v>
      </c>
      <c r="D28" s="13">
        <f t="shared" si="0"/>
        <v>74730000000</v>
      </c>
      <c r="E28">
        <f t="shared" si="1"/>
        <v>8.2783925876684077E-3</v>
      </c>
    </row>
    <row r="29" spans="1:5" x14ac:dyDescent="0.35">
      <c r="A29" t="s">
        <v>196</v>
      </c>
      <c r="B29" t="s">
        <v>698</v>
      </c>
      <c r="C29">
        <v>107.64</v>
      </c>
      <c r="D29" s="13">
        <f t="shared" si="0"/>
        <v>107640000000</v>
      </c>
      <c r="E29">
        <f t="shared" si="1"/>
        <v>1.1924075714393514E-2</v>
      </c>
    </row>
    <row r="30" spans="1:5" x14ac:dyDescent="0.35">
      <c r="A30" t="s">
        <v>304</v>
      </c>
      <c r="B30" t="s">
        <v>801</v>
      </c>
      <c r="C30">
        <v>284.22000000000003</v>
      </c>
      <c r="D30" s="13">
        <f t="shared" si="0"/>
        <v>284220000000</v>
      </c>
      <c r="E30">
        <f t="shared" si="1"/>
        <v>3.1485143065263142E-2</v>
      </c>
    </row>
    <row r="31" spans="1:5" x14ac:dyDescent="0.35">
      <c r="A31" t="s">
        <v>483</v>
      </c>
      <c r="B31" t="s">
        <v>969</v>
      </c>
      <c r="C31">
        <v>186.09</v>
      </c>
      <c r="D31" s="13">
        <f t="shared" si="0"/>
        <v>186090000000</v>
      </c>
      <c r="E31">
        <f t="shared" si="1"/>
        <v>2.0614560104900495E-2</v>
      </c>
    </row>
    <row r="32" spans="1:5" x14ac:dyDescent="0.35">
      <c r="A32" t="s">
        <v>190</v>
      </c>
      <c r="B32" t="s">
        <v>692</v>
      </c>
      <c r="C32">
        <v>20.66</v>
      </c>
      <c r="D32" s="13">
        <f t="shared" si="0"/>
        <v>20660000000</v>
      </c>
      <c r="E32">
        <f t="shared" si="1"/>
        <v>2.2886603888830361E-3</v>
      </c>
    </row>
    <row r="33" spans="1:5" x14ac:dyDescent="0.35">
      <c r="A33" t="s">
        <v>64</v>
      </c>
      <c r="B33" t="s">
        <v>571</v>
      </c>
      <c r="C33">
        <v>20.91</v>
      </c>
      <c r="D33" s="13">
        <f t="shared" si="0"/>
        <v>20910000000</v>
      </c>
      <c r="E33">
        <f t="shared" si="1"/>
        <v>2.3163547304716498E-3</v>
      </c>
    </row>
    <row r="34" spans="1:5" x14ac:dyDescent="0.35">
      <c r="A34" t="s">
        <v>273</v>
      </c>
      <c r="B34" t="s">
        <v>771</v>
      </c>
      <c r="C34">
        <v>26.49</v>
      </c>
      <c r="D34" s="13">
        <f t="shared" si="0"/>
        <v>26490000000</v>
      </c>
      <c r="E34">
        <f t="shared" si="1"/>
        <v>2.9344924347295075E-3</v>
      </c>
    </row>
    <row r="35" spans="1:5" x14ac:dyDescent="0.35">
      <c r="A35" t="s">
        <v>132</v>
      </c>
      <c r="B35" t="s">
        <v>636</v>
      </c>
      <c r="C35">
        <v>44.74</v>
      </c>
      <c r="D35" s="13">
        <f t="shared" si="0"/>
        <v>44740000000</v>
      </c>
      <c r="E35">
        <f t="shared" si="1"/>
        <v>4.9561793706983078E-3</v>
      </c>
    </row>
    <row r="36" spans="1:5" x14ac:dyDescent="0.35">
      <c r="A36" t="s">
        <v>274</v>
      </c>
      <c r="B36" t="s">
        <v>772</v>
      </c>
      <c r="C36">
        <v>21.13</v>
      </c>
      <c r="D36" s="13">
        <f t="shared" si="0"/>
        <v>21130000000</v>
      </c>
      <c r="E36">
        <f t="shared" si="1"/>
        <v>2.3407257510696298E-3</v>
      </c>
    </row>
    <row r="37" spans="1:5" x14ac:dyDescent="0.35">
      <c r="A37" t="s">
        <v>206</v>
      </c>
      <c r="B37" t="s">
        <v>708</v>
      </c>
      <c r="C37">
        <v>22.61</v>
      </c>
      <c r="D37" s="13">
        <f t="shared" si="0"/>
        <v>22610000000</v>
      </c>
      <c r="E37">
        <f t="shared" si="1"/>
        <v>2.5046762532742232E-3</v>
      </c>
    </row>
    <row r="38" spans="1:5" x14ac:dyDescent="0.35">
      <c r="A38" t="s">
        <v>335</v>
      </c>
      <c r="B38" t="s">
        <v>832</v>
      </c>
      <c r="C38">
        <v>28.94</v>
      </c>
      <c r="D38" s="13">
        <f t="shared" si="0"/>
        <v>28940000000</v>
      </c>
      <c r="E38">
        <f t="shared" si="1"/>
        <v>3.205896982297922E-3</v>
      </c>
    </row>
    <row r="39" spans="1:5" x14ac:dyDescent="0.35">
      <c r="A39" t="s">
        <v>71</v>
      </c>
      <c r="B39" t="s">
        <v>577</v>
      </c>
      <c r="C39">
        <v>10.77</v>
      </c>
      <c r="D39" s="13">
        <f t="shared" si="0"/>
        <v>10770000000</v>
      </c>
      <c r="E39">
        <f t="shared" si="1"/>
        <v>1.1930722356374782E-3</v>
      </c>
    </row>
    <row r="40" spans="1:5" x14ac:dyDescent="0.35">
      <c r="A40" t="s">
        <v>340</v>
      </c>
      <c r="B40" t="s">
        <v>837</v>
      </c>
      <c r="C40">
        <v>108.16</v>
      </c>
      <c r="D40" s="13">
        <f t="shared" si="0"/>
        <v>108160000000</v>
      </c>
      <c r="E40">
        <f t="shared" si="1"/>
        <v>1.1981679944897832E-2</v>
      </c>
    </row>
    <row r="41" spans="1:5" x14ac:dyDescent="0.35">
      <c r="A41" t="s">
        <v>334</v>
      </c>
      <c r="B41" t="s">
        <v>831</v>
      </c>
      <c r="C41">
        <v>17.18</v>
      </c>
      <c r="D41" s="13">
        <f t="shared" si="0"/>
        <v>17180000000</v>
      </c>
      <c r="E41">
        <f t="shared" si="1"/>
        <v>1.9031551539695334E-3</v>
      </c>
    </row>
    <row r="42" spans="1:5" x14ac:dyDescent="0.35">
      <c r="A42" t="s">
        <v>397</v>
      </c>
      <c r="B42" t="s">
        <v>893</v>
      </c>
      <c r="C42">
        <v>214.77</v>
      </c>
      <c r="D42" s="13">
        <f t="shared" si="0"/>
        <v>214770000000</v>
      </c>
      <c r="E42">
        <f t="shared" si="1"/>
        <v>2.3791654971946258E-2</v>
      </c>
    </row>
    <row r="43" spans="1:5" x14ac:dyDescent="0.35">
      <c r="A43" t="s">
        <v>294</v>
      </c>
      <c r="B43" t="s">
        <v>791</v>
      </c>
      <c r="C43">
        <v>25.48</v>
      </c>
      <c r="D43" s="13">
        <f t="shared" si="0"/>
        <v>25480000000</v>
      </c>
      <c r="E43">
        <f t="shared" si="1"/>
        <v>2.8226072947115082E-3</v>
      </c>
    </row>
    <row r="44" spans="1:5" x14ac:dyDescent="0.35">
      <c r="A44" t="s">
        <v>488</v>
      </c>
      <c r="B44" t="s">
        <v>972</v>
      </c>
      <c r="C44">
        <v>91.86</v>
      </c>
      <c r="D44" s="13">
        <f t="shared" si="0"/>
        <v>91860000000</v>
      </c>
      <c r="E44">
        <f t="shared" si="1"/>
        <v>1.0176008873320219E-2</v>
      </c>
    </row>
    <row r="45" spans="1:5" x14ac:dyDescent="0.35">
      <c r="A45" t="s">
        <v>481</v>
      </c>
      <c r="B45" t="s">
        <v>967</v>
      </c>
      <c r="C45">
        <v>22.01</v>
      </c>
      <c r="D45" s="13">
        <f t="shared" si="0"/>
        <v>22010000000</v>
      </c>
      <c r="E45">
        <f t="shared" si="1"/>
        <v>2.43820983346155E-3</v>
      </c>
    </row>
    <row r="46" spans="1:5" x14ac:dyDescent="0.35">
      <c r="A46" t="s">
        <v>462</v>
      </c>
      <c r="B46" t="s">
        <v>950</v>
      </c>
      <c r="C46">
        <v>16.059999999999999</v>
      </c>
      <c r="D46" s="13">
        <f t="shared" si="0"/>
        <v>16059999999.999998</v>
      </c>
      <c r="E46">
        <f t="shared" si="1"/>
        <v>1.7790845036525439E-3</v>
      </c>
    </row>
    <row r="47" spans="1:5" x14ac:dyDescent="0.35">
      <c r="A47" t="s">
        <v>354</v>
      </c>
      <c r="B47" t="s">
        <v>850</v>
      </c>
      <c r="C47">
        <v>9.56</v>
      </c>
      <c r="D47" s="13">
        <f t="shared" si="0"/>
        <v>9560000000</v>
      </c>
      <c r="E47">
        <f t="shared" si="1"/>
        <v>1.0590316223485878E-3</v>
      </c>
    </row>
    <row r="48" spans="1:5" x14ac:dyDescent="0.35">
      <c r="A48" t="s">
        <v>343</v>
      </c>
      <c r="B48" t="s">
        <v>840</v>
      </c>
      <c r="C48">
        <v>12.83</v>
      </c>
      <c r="D48" s="13">
        <f t="shared" si="0"/>
        <v>12830000000</v>
      </c>
      <c r="E48">
        <f t="shared" si="1"/>
        <v>1.4212736103276552E-3</v>
      </c>
    </row>
    <row r="49" spans="1:5" x14ac:dyDescent="0.35">
      <c r="A49" t="s">
        <v>219</v>
      </c>
      <c r="B49" t="s">
        <v>720</v>
      </c>
      <c r="C49">
        <v>19.29</v>
      </c>
      <c r="D49" s="13">
        <f t="shared" si="0"/>
        <v>19290000000</v>
      </c>
      <c r="E49">
        <f t="shared" si="1"/>
        <v>2.1368953969774333E-3</v>
      </c>
    </row>
    <row r="50" spans="1:5" x14ac:dyDescent="0.35">
      <c r="A50" t="s">
        <v>337</v>
      </c>
      <c r="B50" t="s">
        <v>834</v>
      </c>
      <c r="C50">
        <v>108.65</v>
      </c>
      <c r="D50" s="13">
        <f t="shared" si="0"/>
        <v>108650000000</v>
      </c>
      <c r="E50">
        <f t="shared" si="1"/>
        <v>1.2035960854411514E-2</v>
      </c>
    </row>
    <row r="51" spans="1:5" x14ac:dyDescent="0.35">
      <c r="A51" t="s">
        <v>136</v>
      </c>
      <c r="B51" t="s">
        <v>640</v>
      </c>
      <c r="C51">
        <v>10.44</v>
      </c>
      <c r="D51" s="13">
        <f t="shared" si="0"/>
        <v>10440000000</v>
      </c>
      <c r="E51">
        <f t="shared" si="1"/>
        <v>1.1565157047405082E-3</v>
      </c>
    </row>
    <row r="52" spans="1:5" x14ac:dyDescent="0.35">
      <c r="A52" t="s">
        <v>57</v>
      </c>
      <c r="B52" t="s">
        <v>565</v>
      </c>
      <c r="C52">
        <v>114.26</v>
      </c>
      <c r="D52" s="13">
        <f t="shared" si="0"/>
        <v>114260000000</v>
      </c>
      <c r="E52">
        <f t="shared" si="1"/>
        <v>1.2657421879660005E-2</v>
      </c>
    </row>
    <row r="53" spans="1:5" x14ac:dyDescent="0.35">
      <c r="A53" t="s">
        <v>217</v>
      </c>
      <c r="B53" t="s">
        <v>217</v>
      </c>
      <c r="C53">
        <v>32.54</v>
      </c>
      <c r="D53" s="13">
        <f t="shared" si="0"/>
        <v>32540000000</v>
      </c>
      <c r="E53">
        <f t="shared" si="1"/>
        <v>3.6046955011739593E-3</v>
      </c>
    </row>
    <row r="54" spans="1:5" x14ac:dyDescent="0.35">
      <c r="A54" t="s">
        <v>374</v>
      </c>
      <c r="B54" t="s">
        <v>870</v>
      </c>
      <c r="C54">
        <v>18.14</v>
      </c>
      <c r="D54" s="13">
        <f t="shared" si="0"/>
        <v>18140000000</v>
      </c>
      <c r="E54">
        <f t="shared" si="1"/>
        <v>2.0095014256698101E-3</v>
      </c>
    </row>
    <row r="55" spans="1:5" x14ac:dyDescent="0.35">
      <c r="A55" t="s">
        <v>381</v>
      </c>
      <c r="B55" t="s">
        <v>877</v>
      </c>
      <c r="C55">
        <v>19.09</v>
      </c>
      <c r="D55" s="13">
        <f t="shared" si="0"/>
        <v>19090000000</v>
      </c>
      <c r="E55">
        <f t="shared" si="1"/>
        <v>2.1147399237065423E-3</v>
      </c>
    </row>
    <row r="56" spans="1:5" x14ac:dyDescent="0.35">
      <c r="A56" t="s">
        <v>92</v>
      </c>
      <c r="B56" t="s">
        <v>596</v>
      </c>
      <c r="C56">
        <v>43.04</v>
      </c>
      <c r="D56" s="13">
        <f t="shared" si="0"/>
        <v>43040000000</v>
      </c>
      <c r="E56">
        <f t="shared" si="1"/>
        <v>4.7678578478957349E-3</v>
      </c>
    </row>
    <row r="57" spans="1:5" x14ac:dyDescent="0.35">
      <c r="A57" t="s">
        <v>452</v>
      </c>
      <c r="B57" t="s">
        <v>943</v>
      </c>
      <c r="C57">
        <v>56.69</v>
      </c>
      <c r="D57" s="13">
        <f t="shared" si="0"/>
        <v>56690000000</v>
      </c>
      <c r="E57">
        <f t="shared" si="1"/>
        <v>6.2799688986340425E-3</v>
      </c>
    </row>
    <row r="58" spans="1:5" x14ac:dyDescent="0.35">
      <c r="A58" t="s">
        <v>81</v>
      </c>
      <c r="B58" t="s">
        <v>586</v>
      </c>
      <c r="C58">
        <v>46.76</v>
      </c>
      <c r="D58" s="13">
        <f t="shared" si="0"/>
        <v>46760000000</v>
      </c>
      <c r="E58">
        <f t="shared" si="1"/>
        <v>5.1799496507343064E-3</v>
      </c>
    </row>
    <row r="59" spans="1:5" x14ac:dyDescent="0.35">
      <c r="A59" t="s">
        <v>479</v>
      </c>
      <c r="B59" t="s">
        <v>965</v>
      </c>
      <c r="C59">
        <v>30.99</v>
      </c>
      <c r="D59" s="13">
        <f t="shared" si="0"/>
        <v>30990000000</v>
      </c>
      <c r="E59">
        <f t="shared" si="1"/>
        <v>3.4329905833245544E-3</v>
      </c>
    </row>
    <row r="60" spans="1:5" x14ac:dyDescent="0.35">
      <c r="A60" t="s">
        <v>359</v>
      </c>
      <c r="B60" t="s">
        <v>855</v>
      </c>
      <c r="C60">
        <v>7.89</v>
      </c>
      <c r="D60" s="13">
        <f t="shared" si="0"/>
        <v>7890000000</v>
      </c>
      <c r="E60">
        <f t="shared" si="1"/>
        <v>8.7403342053664834E-4</v>
      </c>
    </row>
    <row r="61" spans="1:5" x14ac:dyDescent="0.35">
      <c r="A61" t="s">
        <v>53</v>
      </c>
      <c r="B61" t="s">
        <v>561</v>
      </c>
      <c r="C61">
        <v>18.2</v>
      </c>
      <c r="D61" s="13">
        <f t="shared" si="0"/>
        <v>18200000000</v>
      </c>
      <c r="E61">
        <f t="shared" si="1"/>
        <v>2.0161480676510776E-3</v>
      </c>
    </row>
    <row r="62" spans="1:5" x14ac:dyDescent="0.35">
      <c r="A62" t="s">
        <v>263</v>
      </c>
      <c r="B62" t="s">
        <v>761</v>
      </c>
      <c r="C62">
        <v>143.88999999999999</v>
      </c>
      <c r="D62" s="13">
        <f t="shared" si="0"/>
        <v>143890000000</v>
      </c>
      <c r="E62">
        <f t="shared" si="1"/>
        <v>1.59397552447425E-2</v>
      </c>
    </row>
    <row r="63" spans="1:5" x14ac:dyDescent="0.35">
      <c r="A63" t="s">
        <v>69</v>
      </c>
      <c r="B63" t="s">
        <v>69</v>
      </c>
      <c r="C63">
        <v>73.989999999999995</v>
      </c>
      <c r="D63" s="13">
        <f t="shared" si="0"/>
        <v>73990000000</v>
      </c>
      <c r="E63">
        <f t="shared" si="1"/>
        <v>8.196417336566111E-3</v>
      </c>
    </row>
    <row r="64" spans="1:5" x14ac:dyDescent="0.35">
      <c r="A64" t="s">
        <v>261</v>
      </c>
      <c r="B64" t="s">
        <v>759</v>
      </c>
      <c r="C64">
        <v>34.21</v>
      </c>
      <c r="D64" s="13">
        <f t="shared" si="0"/>
        <v>34210000000</v>
      </c>
      <c r="E64">
        <f t="shared" si="1"/>
        <v>3.7896937029858989E-3</v>
      </c>
    </row>
    <row r="65" spans="1:5" x14ac:dyDescent="0.35">
      <c r="A65" t="s">
        <v>293</v>
      </c>
      <c r="B65" t="s">
        <v>790</v>
      </c>
      <c r="C65">
        <v>9.39</v>
      </c>
      <c r="D65" s="13">
        <f t="shared" si="0"/>
        <v>9390000000</v>
      </c>
      <c r="E65">
        <f t="shared" si="1"/>
        <v>1.0401994700683305E-3</v>
      </c>
    </row>
    <row r="66" spans="1:5" x14ac:dyDescent="0.35">
      <c r="A66" t="s">
        <v>434</v>
      </c>
      <c r="B66" t="s">
        <v>927</v>
      </c>
      <c r="C66">
        <v>26.52</v>
      </c>
      <c r="D66" s="13">
        <f t="shared" si="0"/>
        <v>26520000000</v>
      </c>
      <c r="E66">
        <f t="shared" si="1"/>
        <v>2.9378157557201413E-3</v>
      </c>
    </row>
    <row r="67" spans="1:5" x14ac:dyDescent="0.35">
      <c r="A67" t="s">
        <v>188</v>
      </c>
      <c r="B67" t="s">
        <v>690</v>
      </c>
      <c r="C67">
        <v>28.42</v>
      </c>
      <c r="D67" s="13">
        <f t="shared" ref="D67:D130" si="2">C67*1000000000</f>
        <v>28420000000</v>
      </c>
      <c r="E67">
        <f t="shared" ref="E67:E130" si="3">D67/$D$213</f>
        <v>3.1482927517936057E-3</v>
      </c>
    </row>
    <row r="68" spans="1:5" x14ac:dyDescent="0.35">
      <c r="A68" t="s">
        <v>410</v>
      </c>
      <c r="B68" t="s">
        <v>905</v>
      </c>
      <c r="C68">
        <v>56.81</v>
      </c>
      <c r="D68" s="13">
        <f t="shared" si="2"/>
        <v>56810000000</v>
      </c>
      <c r="E68">
        <f t="shared" si="3"/>
        <v>6.2932621825965776E-3</v>
      </c>
    </row>
    <row r="69" spans="1:5" x14ac:dyDescent="0.35">
      <c r="A69" t="s">
        <v>144</v>
      </c>
      <c r="B69" t="s">
        <v>648</v>
      </c>
      <c r="C69">
        <v>40.130000000000003</v>
      </c>
      <c r="D69" s="13">
        <f t="shared" si="2"/>
        <v>40130000000</v>
      </c>
      <c r="E69">
        <f t="shared" si="3"/>
        <v>4.4454957118042716E-3</v>
      </c>
    </row>
    <row r="70" spans="1:5" x14ac:dyDescent="0.35">
      <c r="A70" t="s">
        <v>383</v>
      </c>
      <c r="B70" t="s">
        <v>879</v>
      </c>
      <c r="C70">
        <v>44.31</v>
      </c>
      <c r="D70" s="13">
        <f t="shared" si="2"/>
        <v>44310000000</v>
      </c>
      <c r="E70">
        <f t="shared" si="3"/>
        <v>4.9085451031658919E-3</v>
      </c>
    </row>
    <row r="71" spans="1:5" x14ac:dyDescent="0.35">
      <c r="A71" t="s">
        <v>507</v>
      </c>
      <c r="B71" t="s">
        <v>508</v>
      </c>
      <c r="C71">
        <v>10.77</v>
      </c>
      <c r="D71" s="13">
        <f t="shared" si="2"/>
        <v>10770000000</v>
      </c>
      <c r="E71">
        <f t="shared" si="3"/>
        <v>1.1930722356374782E-3</v>
      </c>
    </row>
    <row r="72" spans="1:5" x14ac:dyDescent="0.35">
      <c r="A72" t="s">
        <v>137</v>
      </c>
      <c r="B72" t="s">
        <v>641</v>
      </c>
      <c r="C72">
        <v>66.97</v>
      </c>
      <c r="D72" s="13">
        <f t="shared" si="2"/>
        <v>66970000000</v>
      </c>
      <c r="E72">
        <f t="shared" si="3"/>
        <v>7.4187602247578381E-3</v>
      </c>
    </row>
    <row r="73" spans="1:5" x14ac:dyDescent="0.35">
      <c r="A73" t="s">
        <v>173</v>
      </c>
      <c r="B73" t="s">
        <v>677</v>
      </c>
      <c r="C73">
        <v>13.82</v>
      </c>
      <c r="D73" s="13">
        <f t="shared" si="2"/>
        <v>13820000000</v>
      </c>
      <c r="E73">
        <f t="shared" si="3"/>
        <v>1.5309432030185654E-3</v>
      </c>
    </row>
    <row r="74" spans="1:5" x14ac:dyDescent="0.35">
      <c r="A74" t="s">
        <v>50</v>
      </c>
      <c r="B74" t="s">
        <v>558</v>
      </c>
      <c r="C74">
        <v>19.579999999999998</v>
      </c>
      <c r="D74" s="13">
        <f t="shared" si="2"/>
        <v>19580000000</v>
      </c>
      <c r="E74">
        <f t="shared" si="3"/>
        <v>2.1690208332202248E-3</v>
      </c>
    </row>
    <row r="75" spans="1:5" x14ac:dyDescent="0.35">
      <c r="A75" t="s">
        <v>148</v>
      </c>
      <c r="B75" t="s">
        <v>652</v>
      </c>
      <c r="C75">
        <v>0.51500000000000001</v>
      </c>
      <c r="D75" s="13">
        <f t="shared" si="2"/>
        <v>515000000</v>
      </c>
      <c r="E75">
        <f t="shared" si="3"/>
        <v>5.7050343672544224E-5</v>
      </c>
    </row>
    <row r="76" spans="1:5" x14ac:dyDescent="0.35">
      <c r="A76" t="s">
        <v>195</v>
      </c>
      <c r="B76" t="s">
        <v>697</v>
      </c>
      <c r="C76">
        <v>15.42</v>
      </c>
      <c r="D76" s="13">
        <f t="shared" si="2"/>
        <v>15420000000</v>
      </c>
      <c r="E76">
        <f t="shared" si="3"/>
        <v>1.708186989185693E-3</v>
      </c>
    </row>
    <row r="77" spans="1:5" x14ac:dyDescent="0.35">
      <c r="A77" t="s">
        <v>256</v>
      </c>
      <c r="B77" t="s">
        <v>754</v>
      </c>
      <c r="C77">
        <v>9.93</v>
      </c>
      <c r="D77" s="13">
        <f t="shared" si="2"/>
        <v>9930000000</v>
      </c>
      <c r="E77">
        <f t="shared" si="3"/>
        <v>1.1000192478997362E-3</v>
      </c>
    </row>
    <row r="78" spans="1:5" x14ac:dyDescent="0.35">
      <c r="A78" t="s">
        <v>95</v>
      </c>
      <c r="B78" t="s">
        <v>599</v>
      </c>
      <c r="C78">
        <v>7.09</v>
      </c>
      <c r="D78" s="13">
        <f t="shared" si="2"/>
        <v>7090000000</v>
      </c>
      <c r="E78">
        <f t="shared" si="3"/>
        <v>7.8541152745308454E-4</v>
      </c>
    </row>
    <row r="79" spans="1:5" x14ac:dyDescent="0.35">
      <c r="A79" t="s">
        <v>365</v>
      </c>
      <c r="B79" t="s">
        <v>861</v>
      </c>
      <c r="C79">
        <v>16.53</v>
      </c>
      <c r="D79" s="13">
        <f t="shared" si="2"/>
        <v>16530000000.000002</v>
      </c>
      <c r="E79">
        <f t="shared" si="3"/>
        <v>1.831149865839138E-3</v>
      </c>
    </row>
    <row r="80" spans="1:5" x14ac:dyDescent="0.35">
      <c r="A80" t="s">
        <v>330</v>
      </c>
      <c r="B80" t="s">
        <v>827</v>
      </c>
      <c r="C80">
        <v>19.34</v>
      </c>
      <c r="D80" s="13">
        <f t="shared" si="2"/>
        <v>19340000000</v>
      </c>
      <c r="E80">
        <f t="shared" si="3"/>
        <v>2.142434265295156E-3</v>
      </c>
    </row>
    <row r="81" spans="1:5" x14ac:dyDescent="0.35">
      <c r="A81" t="s">
        <v>437</v>
      </c>
      <c r="B81" t="s">
        <v>930</v>
      </c>
      <c r="C81">
        <v>6.14</v>
      </c>
      <c r="D81" s="13">
        <f t="shared" si="2"/>
        <v>6140000000</v>
      </c>
      <c r="E81">
        <f t="shared" si="3"/>
        <v>6.8017302941635245E-4</v>
      </c>
    </row>
    <row r="82" spans="1:5" x14ac:dyDescent="0.35">
      <c r="A82" t="s">
        <v>367</v>
      </c>
      <c r="B82" t="s">
        <v>863</v>
      </c>
      <c r="C82">
        <v>14.19</v>
      </c>
      <c r="D82" s="13">
        <f t="shared" si="2"/>
        <v>14190000000</v>
      </c>
      <c r="E82">
        <f t="shared" si="3"/>
        <v>1.5719308285697137E-3</v>
      </c>
    </row>
    <row r="83" spans="1:5" x14ac:dyDescent="0.35">
      <c r="A83" t="s">
        <v>90</v>
      </c>
      <c r="B83" t="s">
        <v>594</v>
      </c>
      <c r="C83">
        <v>10.08</v>
      </c>
      <c r="D83" s="13">
        <f t="shared" si="2"/>
        <v>10080000000</v>
      </c>
      <c r="E83">
        <f t="shared" si="3"/>
        <v>1.1166358528529043E-3</v>
      </c>
    </row>
    <row r="84" spans="1:5" x14ac:dyDescent="0.35">
      <c r="A84" t="s">
        <v>118</v>
      </c>
      <c r="B84" t="s">
        <v>622</v>
      </c>
      <c r="C84">
        <v>21.3</v>
      </c>
      <c r="D84" s="13">
        <f t="shared" si="2"/>
        <v>21300000000</v>
      </c>
      <c r="E84">
        <f t="shared" si="3"/>
        <v>2.3595579033498875E-3</v>
      </c>
    </row>
    <row r="85" spans="1:5" x14ac:dyDescent="0.35">
      <c r="A85" t="s">
        <v>234</v>
      </c>
      <c r="B85" t="s">
        <v>734</v>
      </c>
      <c r="C85">
        <v>16.2</v>
      </c>
      <c r="D85" s="13">
        <f t="shared" si="2"/>
        <v>16200000000</v>
      </c>
      <c r="E85">
        <f t="shared" si="3"/>
        <v>1.7945933349421679E-3</v>
      </c>
    </row>
    <row r="86" spans="1:5" x14ac:dyDescent="0.35">
      <c r="A86" t="s">
        <v>449</v>
      </c>
      <c r="B86" t="s">
        <v>940</v>
      </c>
      <c r="C86">
        <v>31.54</v>
      </c>
      <c r="D86" s="13">
        <f t="shared" si="2"/>
        <v>31540000000</v>
      </c>
      <c r="E86">
        <f t="shared" si="3"/>
        <v>3.4939181348195045E-3</v>
      </c>
    </row>
    <row r="87" spans="1:5" x14ac:dyDescent="0.35">
      <c r="A87" t="s">
        <v>85</v>
      </c>
      <c r="B87" t="s">
        <v>589</v>
      </c>
      <c r="C87">
        <v>6.38</v>
      </c>
      <c r="D87" s="13">
        <f t="shared" si="2"/>
        <v>6380000000</v>
      </c>
      <c r="E87">
        <f t="shared" si="3"/>
        <v>7.0675959734142161E-4</v>
      </c>
    </row>
    <row r="88" spans="1:5" x14ac:dyDescent="0.35">
      <c r="A88" t="s">
        <v>298</v>
      </c>
      <c r="B88" t="s">
        <v>795</v>
      </c>
      <c r="C88">
        <v>5.71</v>
      </c>
      <c r="D88" s="13">
        <f t="shared" si="2"/>
        <v>5710000000</v>
      </c>
      <c r="E88">
        <f t="shared" si="3"/>
        <v>6.3253876188393689E-4</v>
      </c>
    </row>
    <row r="89" spans="1:5" x14ac:dyDescent="0.35">
      <c r="A89" t="s">
        <v>369</v>
      </c>
      <c r="B89" t="s">
        <v>865</v>
      </c>
      <c r="C89">
        <v>3.7</v>
      </c>
      <c r="D89" s="13">
        <f t="shared" si="2"/>
        <v>3700000000</v>
      </c>
      <c r="E89">
        <f t="shared" si="3"/>
        <v>4.0987625551148278E-4</v>
      </c>
    </row>
    <row r="90" spans="1:5" x14ac:dyDescent="0.35">
      <c r="A90" t="s">
        <v>361</v>
      </c>
      <c r="B90" t="s">
        <v>857</v>
      </c>
      <c r="C90">
        <v>16.88</v>
      </c>
      <c r="D90" s="13">
        <f t="shared" si="2"/>
        <v>16879999999.999998</v>
      </c>
      <c r="E90">
        <f t="shared" si="3"/>
        <v>1.8699219440631968E-3</v>
      </c>
    </row>
    <row r="91" spans="1:5" x14ac:dyDescent="0.35">
      <c r="A91" t="s">
        <v>198</v>
      </c>
      <c r="B91" t="s">
        <v>700</v>
      </c>
      <c r="C91">
        <v>8.16</v>
      </c>
      <c r="D91" s="13">
        <f t="shared" si="2"/>
        <v>8160000000</v>
      </c>
      <c r="E91">
        <f t="shared" si="3"/>
        <v>9.0394330945235116E-4</v>
      </c>
    </row>
    <row r="92" spans="1:5" x14ac:dyDescent="0.35">
      <c r="A92" t="s">
        <v>324</v>
      </c>
      <c r="B92" t="s">
        <v>821</v>
      </c>
      <c r="C92">
        <v>29.17</v>
      </c>
      <c r="D92" s="13">
        <f t="shared" si="2"/>
        <v>29170000000</v>
      </c>
      <c r="E92">
        <f t="shared" si="3"/>
        <v>3.2313757765594464E-3</v>
      </c>
    </row>
    <row r="93" spans="1:5" x14ac:dyDescent="0.35">
      <c r="A93" t="s">
        <v>175</v>
      </c>
      <c r="B93" t="s">
        <v>679</v>
      </c>
      <c r="C93">
        <v>16.41</v>
      </c>
      <c r="D93" s="13">
        <f t="shared" si="2"/>
        <v>16410000000</v>
      </c>
      <c r="E93">
        <f t="shared" si="3"/>
        <v>1.8178565818766034E-3</v>
      </c>
    </row>
    <row r="94" spans="1:5" x14ac:dyDescent="0.35">
      <c r="A94" t="s">
        <v>308</v>
      </c>
      <c r="B94" t="s">
        <v>805</v>
      </c>
      <c r="C94">
        <v>25.61</v>
      </c>
      <c r="D94" s="13">
        <f t="shared" si="2"/>
        <v>25610000000</v>
      </c>
      <c r="E94">
        <f t="shared" si="3"/>
        <v>2.8370083523375873E-3</v>
      </c>
    </row>
    <row r="95" spans="1:5" x14ac:dyDescent="0.35">
      <c r="A95" t="s">
        <v>386</v>
      </c>
      <c r="B95" t="s">
        <v>882</v>
      </c>
      <c r="C95">
        <v>4.8899999999999997</v>
      </c>
      <c r="D95" s="13">
        <f t="shared" si="2"/>
        <v>4890000000</v>
      </c>
      <c r="E95">
        <f t="shared" si="3"/>
        <v>5.4170132147328398E-4</v>
      </c>
    </row>
    <row r="96" spans="1:5" x14ac:dyDescent="0.35">
      <c r="A96" t="s">
        <v>179</v>
      </c>
      <c r="B96" t="s">
        <v>683</v>
      </c>
      <c r="C96">
        <v>36.549999999999997</v>
      </c>
      <c r="D96" s="13">
        <f t="shared" si="2"/>
        <v>36550000000</v>
      </c>
      <c r="E96">
        <f t="shared" si="3"/>
        <v>4.0489127402553232E-3</v>
      </c>
    </row>
    <row r="97" spans="1:5" x14ac:dyDescent="0.35">
      <c r="A97" t="s">
        <v>236</v>
      </c>
      <c r="B97" t="s">
        <v>736</v>
      </c>
      <c r="C97">
        <v>18.68</v>
      </c>
      <c r="D97" s="13">
        <f t="shared" si="2"/>
        <v>18680000000</v>
      </c>
      <c r="E97">
        <f t="shared" si="3"/>
        <v>2.0693212035012157E-3</v>
      </c>
    </row>
    <row r="98" spans="1:5" x14ac:dyDescent="0.35">
      <c r="A98" t="s">
        <v>187</v>
      </c>
      <c r="B98" t="s">
        <v>689</v>
      </c>
      <c r="C98">
        <v>18.829999999999998</v>
      </c>
      <c r="D98" s="13">
        <f t="shared" si="2"/>
        <v>18830000000</v>
      </c>
      <c r="E98">
        <f t="shared" si="3"/>
        <v>2.0859378084543841E-3</v>
      </c>
    </row>
    <row r="99" spans="1:5" x14ac:dyDescent="0.35">
      <c r="A99" t="s">
        <v>350</v>
      </c>
      <c r="B99" t="s">
        <v>847</v>
      </c>
      <c r="C99">
        <v>70.849999999999994</v>
      </c>
      <c r="D99" s="13">
        <f t="shared" si="2"/>
        <v>70850000000</v>
      </c>
      <c r="E99">
        <f t="shared" si="3"/>
        <v>7.8485764062131234E-3</v>
      </c>
    </row>
    <row r="100" spans="1:5" x14ac:dyDescent="0.35">
      <c r="A100" t="s">
        <v>34</v>
      </c>
      <c r="B100" t="s">
        <v>544</v>
      </c>
      <c r="C100">
        <v>20.61</v>
      </c>
      <c r="D100" s="13">
        <f t="shared" si="2"/>
        <v>20610000000</v>
      </c>
      <c r="E100">
        <f t="shared" si="3"/>
        <v>2.2831215205653134E-3</v>
      </c>
    </row>
    <row r="101" spans="1:5" x14ac:dyDescent="0.35">
      <c r="A101" t="s">
        <v>84</v>
      </c>
      <c r="B101" t="s">
        <v>588</v>
      </c>
      <c r="C101">
        <v>2.27</v>
      </c>
      <c r="D101" s="13">
        <f t="shared" si="2"/>
        <v>2270000000</v>
      </c>
      <c r="E101">
        <f t="shared" si="3"/>
        <v>2.5146462162461242E-4</v>
      </c>
    </row>
    <row r="102" spans="1:5" x14ac:dyDescent="0.35">
      <c r="A102" t="s">
        <v>295</v>
      </c>
      <c r="B102" t="s">
        <v>792</v>
      </c>
      <c r="C102">
        <v>20.43</v>
      </c>
      <c r="D102" s="13">
        <f t="shared" si="2"/>
        <v>20430000000</v>
      </c>
      <c r="E102">
        <f t="shared" si="3"/>
        <v>2.2631815946215117E-3</v>
      </c>
    </row>
    <row r="103" spans="1:5" x14ac:dyDescent="0.35">
      <c r="A103" t="s">
        <v>496</v>
      </c>
      <c r="B103" t="s">
        <v>980</v>
      </c>
      <c r="C103">
        <v>9</v>
      </c>
      <c r="D103" s="13">
        <f t="shared" si="2"/>
        <v>9000000000</v>
      </c>
      <c r="E103">
        <f t="shared" si="3"/>
        <v>9.9699629719009327E-4</v>
      </c>
    </row>
    <row r="104" spans="1:5" x14ac:dyDescent="0.35">
      <c r="A104" t="s">
        <v>276</v>
      </c>
      <c r="B104" t="s">
        <v>774</v>
      </c>
      <c r="C104">
        <v>10.97</v>
      </c>
      <c r="D104" s="13">
        <f t="shared" si="2"/>
        <v>10970000000</v>
      </c>
      <c r="E104">
        <f t="shared" si="3"/>
        <v>1.2152277089083692E-3</v>
      </c>
    </row>
    <row r="105" spans="1:5" x14ac:dyDescent="0.35">
      <c r="A105" t="s">
        <v>379</v>
      </c>
      <c r="B105" t="s">
        <v>875</v>
      </c>
      <c r="C105">
        <v>6.06</v>
      </c>
      <c r="D105" s="13">
        <f t="shared" si="2"/>
        <v>6060000000</v>
      </c>
      <c r="E105">
        <f t="shared" si="3"/>
        <v>6.7131084010799613E-4</v>
      </c>
    </row>
    <row r="106" spans="1:5" x14ac:dyDescent="0.35">
      <c r="A106" t="s">
        <v>3</v>
      </c>
      <c r="B106" t="s">
        <v>515</v>
      </c>
      <c r="C106">
        <v>9.57</v>
      </c>
      <c r="D106" s="13">
        <f t="shared" si="2"/>
        <v>9570000000</v>
      </c>
      <c r="E106">
        <f t="shared" si="3"/>
        <v>1.0601393960121325E-3</v>
      </c>
    </row>
    <row r="107" spans="1:5" x14ac:dyDescent="0.35">
      <c r="A107" t="s">
        <v>4</v>
      </c>
      <c r="B107" t="s">
        <v>516</v>
      </c>
      <c r="C107">
        <v>6.48</v>
      </c>
      <c r="D107" s="13">
        <f t="shared" si="2"/>
        <v>6480000000</v>
      </c>
      <c r="E107">
        <f t="shared" si="3"/>
        <v>7.1783733397686714E-4</v>
      </c>
    </row>
    <row r="108" spans="1:5" x14ac:dyDescent="0.35">
      <c r="A108" t="s">
        <v>94</v>
      </c>
      <c r="B108" t="s">
        <v>598</v>
      </c>
      <c r="C108">
        <v>6.33</v>
      </c>
      <c r="D108" s="13">
        <f t="shared" si="2"/>
        <v>6330000000</v>
      </c>
      <c r="E108">
        <f t="shared" si="3"/>
        <v>7.0122072902369895E-4</v>
      </c>
    </row>
    <row r="109" spans="1:5" x14ac:dyDescent="0.35">
      <c r="A109" t="s">
        <v>448</v>
      </c>
      <c r="B109" t="s">
        <v>939</v>
      </c>
      <c r="C109">
        <v>4.21</v>
      </c>
      <c r="D109" s="13">
        <f t="shared" si="2"/>
        <v>4210000000</v>
      </c>
      <c r="E109">
        <f t="shared" si="3"/>
        <v>4.6637271235225471E-4</v>
      </c>
    </row>
    <row r="110" spans="1:5" x14ac:dyDescent="0.35">
      <c r="A110" t="s">
        <v>108</v>
      </c>
      <c r="B110" t="s">
        <v>612</v>
      </c>
      <c r="C110">
        <v>12.62</v>
      </c>
      <c r="D110" s="13">
        <f t="shared" si="2"/>
        <v>12620000000</v>
      </c>
      <c r="E110">
        <f t="shared" si="3"/>
        <v>1.3980103633932197E-3</v>
      </c>
    </row>
    <row r="111" spans="1:5" x14ac:dyDescent="0.35">
      <c r="A111" t="s">
        <v>247</v>
      </c>
      <c r="B111" t="s">
        <v>747</v>
      </c>
      <c r="C111">
        <v>13.2</v>
      </c>
      <c r="D111" s="13">
        <f t="shared" si="2"/>
        <v>13200000000</v>
      </c>
      <c r="E111">
        <f t="shared" si="3"/>
        <v>1.4622612358788033E-3</v>
      </c>
    </row>
    <row r="112" spans="1:5" x14ac:dyDescent="0.35">
      <c r="A112" t="s">
        <v>404</v>
      </c>
      <c r="B112" t="s">
        <v>899</v>
      </c>
      <c r="C112">
        <v>7.19</v>
      </c>
      <c r="D112" s="13">
        <f t="shared" si="2"/>
        <v>7190000000</v>
      </c>
      <c r="E112">
        <f t="shared" si="3"/>
        <v>7.9648926408853007E-4</v>
      </c>
    </row>
    <row r="113" spans="1:5" x14ac:dyDescent="0.35">
      <c r="A113" t="s">
        <v>342</v>
      </c>
      <c r="B113" t="s">
        <v>839</v>
      </c>
      <c r="C113">
        <v>9.19</v>
      </c>
      <c r="D113" s="13">
        <f t="shared" si="2"/>
        <v>9190000000</v>
      </c>
      <c r="E113">
        <f t="shared" si="3"/>
        <v>1.0180439967974397E-3</v>
      </c>
    </row>
    <row r="114" spans="1:5" x14ac:dyDescent="0.35">
      <c r="A114" t="s">
        <v>201</v>
      </c>
      <c r="B114" t="s">
        <v>703</v>
      </c>
      <c r="C114">
        <v>8.5299999999999994</v>
      </c>
      <c r="D114" s="13">
        <f t="shared" si="2"/>
        <v>8529999999.999999</v>
      </c>
      <c r="E114">
        <f t="shared" si="3"/>
        <v>9.449309350034994E-4</v>
      </c>
    </row>
    <row r="115" spans="1:5" x14ac:dyDescent="0.35">
      <c r="A115" t="s">
        <v>203</v>
      </c>
      <c r="B115" t="s">
        <v>705</v>
      </c>
      <c r="C115">
        <v>6.69</v>
      </c>
      <c r="D115" s="13">
        <f t="shared" si="2"/>
        <v>6690000000</v>
      </c>
      <c r="E115">
        <f t="shared" si="3"/>
        <v>7.4110058091130264E-4</v>
      </c>
    </row>
    <row r="116" spans="1:5" x14ac:dyDescent="0.35">
      <c r="A116" t="s">
        <v>443</v>
      </c>
      <c r="B116" t="s">
        <v>444</v>
      </c>
      <c r="C116">
        <v>6</v>
      </c>
      <c r="D116" s="13">
        <f t="shared" si="2"/>
        <v>6000000000</v>
      </c>
      <c r="E116">
        <f t="shared" si="3"/>
        <v>6.6466419812672881E-4</v>
      </c>
    </row>
    <row r="117" spans="1:5" x14ac:dyDescent="0.35">
      <c r="A117" t="s">
        <v>10</v>
      </c>
      <c r="B117" t="s">
        <v>522</v>
      </c>
      <c r="C117">
        <v>5.86</v>
      </c>
      <c r="D117" s="13">
        <f t="shared" si="2"/>
        <v>5860000000</v>
      </c>
      <c r="E117">
        <f t="shared" si="3"/>
        <v>6.4915536683710518E-4</v>
      </c>
    </row>
    <row r="118" spans="1:5" x14ac:dyDescent="0.35">
      <c r="A118" t="s">
        <v>390</v>
      </c>
      <c r="B118" t="s">
        <v>886</v>
      </c>
      <c r="C118">
        <v>136.19999999999999</v>
      </c>
      <c r="D118" s="13">
        <f t="shared" si="2"/>
        <v>136199999999.99998</v>
      </c>
      <c r="E118">
        <f t="shared" si="3"/>
        <v>1.5087877297476742E-2</v>
      </c>
    </row>
    <row r="119" spans="1:5" x14ac:dyDescent="0.35">
      <c r="A119" t="s">
        <v>299</v>
      </c>
      <c r="B119" t="s">
        <v>796</v>
      </c>
      <c r="C119">
        <v>6.16</v>
      </c>
      <c r="D119" s="13">
        <f t="shared" si="2"/>
        <v>6160000000</v>
      </c>
      <c r="E119">
        <f t="shared" si="3"/>
        <v>6.8238857674344155E-4</v>
      </c>
    </row>
    <row r="120" spans="1:5" x14ac:dyDescent="0.35">
      <c r="A120" t="s">
        <v>208</v>
      </c>
      <c r="B120" t="s">
        <v>710</v>
      </c>
      <c r="C120">
        <v>20.91</v>
      </c>
      <c r="D120" s="13">
        <f t="shared" si="2"/>
        <v>20910000000</v>
      </c>
      <c r="E120">
        <f t="shared" si="3"/>
        <v>2.3163547304716498E-3</v>
      </c>
    </row>
    <row r="121" spans="1:5" x14ac:dyDescent="0.35">
      <c r="A121" t="s">
        <v>154</v>
      </c>
      <c r="B121" t="s">
        <v>658</v>
      </c>
      <c r="C121">
        <v>3.12</v>
      </c>
      <c r="D121" s="13">
        <f t="shared" si="2"/>
        <v>3120000000</v>
      </c>
      <c r="E121">
        <f t="shared" si="3"/>
        <v>3.4562538302589899E-4</v>
      </c>
    </row>
    <row r="122" spans="1:5" x14ac:dyDescent="0.35">
      <c r="A122" t="s">
        <v>138</v>
      </c>
      <c r="B122" t="s">
        <v>642</v>
      </c>
      <c r="C122">
        <v>4.07</v>
      </c>
      <c r="D122" s="13">
        <f t="shared" si="2"/>
        <v>4070000000.0000005</v>
      </c>
      <c r="E122">
        <f t="shared" si="3"/>
        <v>4.5086388106263108E-4</v>
      </c>
    </row>
    <row r="123" spans="1:5" x14ac:dyDescent="0.35">
      <c r="A123" t="s">
        <v>232</v>
      </c>
      <c r="B123" t="s">
        <v>732</v>
      </c>
      <c r="C123">
        <v>7.82</v>
      </c>
      <c r="D123" s="13">
        <f t="shared" si="2"/>
        <v>7820000000</v>
      </c>
      <c r="E123">
        <f t="shared" si="3"/>
        <v>8.6627900489183657E-4</v>
      </c>
    </row>
    <row r="124" spans="1:5" x14ac:dyDescent="0.35">
      <c r="A124" t="s">
        <v>167</v>
      </c>
      <c r="B124" t="s">
        <v>671</v>
      </c>
      <c r="C124">
        <v>11.03</v>
      </c>
      <c r="D124" s="13">
        <f t="shared" si="2"/>
        <v>11030000000</v>
      </c>
      <c r="E124">
        <f t="shared" si="3"/>
        <v>1.2218743508896365E-3</v>
      </c>
    </row>
    <row r="125" spans="1:5" x14ac:dyDescent="0.35">
      <c r="A125" t="s">
        <v>388</v>
      </c>
      <c r="B125" t="s">
        <v>884</v>
      </c>
      <c r="C125">
        <v>6</v>
      </c>
      <c r="D125" s="13">
        <f t="shared" si="2"/>
        <v>6000000000</v>
      </c>
      <c r="E125">
        <f t="shared" si="3"/>
        <v>6.6466419812672881E-4</v>
      </c>
    </row>
    <row r="126" spans="1:5" x14ac:dyDescent="0.35">
      <c r="A126" t="s">
        <v>17</v>
      </c>
      <c r="B126" t="s">
        <v>528</v>
      </c>
      <c r="C126">
        <v>10.8</v>
      </c>
      <c r="D126" s="13">
        <f t="shared" si="2"/>
        <v>10800000000</v>
      </c>
      <c r="E126">
        <f t="shared" si="3"/>
        <v>1.1963955566281119E-3</v>
      </c>
    </row>
    <row r="127" spans="1:5" x14ac:dyDescent="0.35">
      <c r="A127" t="s">
        <v>18</v>
      </c>
      <c r="B127" t="s">
        <v>529</v>
      </c>
      <c r="C127">
        <v>10.88</v>
      </c>
      <c r="D127" s="13">
        <f t="shared" si="2"/>
        <v>10880000000</v>
      </c>
      <c r="E127">
        <f t="shared" si="3"/>
        <v>1.2052577459364684E-3</v>
      </c>
    </row>
    <row r="128" spans="1:5" x14ac:dyDescent="0.35">
      <c r="A128" t="s">
        <v>510</v>
      </c>
      <c r="B128" t="s">
        <v>992</v>
      </c>
      <c r="C128">
        <v>6.51</v>
      </c>
      <c r="D128" s="13">
        <f t="shared" si="2"/>
        <v>6510000000</v>
      </c>
      <c r="E128">
        <f t="shared" si="3"/>
        <v>7.2116065496750079E-4</v>
      </c>
    </row>
    <row r="129" spans="1:5" x14ac:dyDescent="0.35">
      <c r="A129" t="s">
        <v>19</v>
      </c>
      <c r="B129" t="s">
        <v>530</v>
      </c>
      <c r="C129">
        <v>9.5</v>
      </c>
      <c r="D129" s="13">
        <f t="shared" si="2"/>
        <v>9500000000</v>
      </c>
      <c r="E129">
        <f t="shared" si="3"/>
        <v>1.0523849803673207E-3</v>
      </c>
    </row>
    <row r="130" spans="1:5" x14ac:dyDescent="0.35">
      <c r="A130" t="s">
        <v>310</v>
      </c>
      <c r="B130" t="s">
        <v>807</v>
      </c>
      <c r="C130">
        <v>4.84</v>
      </c>
      <c r="D130" s="13">
        <f t="shared" si="2"/>
        <v>4840000000</v>
      </c>
      <c r="E130">
        <f t="shared" si="3"/>
        <v>5.3616245315556122E-4</v>
      </c>
    </row>
    <row r="131" spans="1:5" x14ac:dyDescent="0.35">
      <c r="A131" t="s">
        <v>164</v>
      </c>
      <c r="B131" t="s">
        <v>668</v>
      </c>
      <c r="C131">
        <v>14.68</v>
      </c>
      <c r="D131" s="13">
        <f t="shared" ref="D131:D194" si="4">C131*1000000000</f>
        <v>14680000000</v>
      </c>
      <c r="E131">
        <f t="shared" ref="E131:E194" si="5">D131/$D$213</f>
        <v>1.6262117380833965E-3</v>
      </c>
    </row>
    <row r="132" spans="1:5" x14ac:dyDescent="0.35">
      <c r="A132" t="s">
        <v>237</v>
      </c>
      <c r="B132" t="s">
        <v>737</v>
      </c>
      <c r="C132">
        <v>10.95</v>
      </c>
      <c r="D132" s="13">
        <f t="shared" si="4"/>
        <v>10950000000</v>
      </c>
      <c r="E132">
        <f t="shared" si="5"/>
        <v>1.2130121615812801E-3</v>
      </c>
    </row>
    <row r="133" spans="1:5" x14ac:dyDescent="0.35">
      <c r="A133" t="s">
        <v>21</v>
      </c>
      <c r="B133" t="s">
        <v>532</v>
      </c>
      <c r="C133">
        <v>8.2100000000000009</v>
      </c>
      <c r="D133" s="13">
        <f t="shared" si="4"/>
        <v>8210000000.000001</v>
      </c>
      <c r="E133">
        <f t="shared" si="5"/>
        <v>9.0948217777007403E-4</v>
      </c>
    </row>
    <row r="134" spans="1:5" x14ac:dyDescent="0.35">
      <c r="A134" t="s">
        <v>128</v>
      </c>
      <c r="B134" t="s">
        <v>632</v>
      </c>
      <c r="C134">
        <v>5.71</v>
      </c>
      <c r="D134" s="13">
        <f t="shared" si="4"/>
        <v>5710000000</v>
      </c>
      <c r="E134">
        <f t="shared" si="5"/>
        <v>6.3253876188393689E-4</v>
      </c>
    </row>
    <row r="135" spans="1:5" x14ac:dyDescent="0.35">
      <c r="A135" t="s">
        <v>252</v>
      </c>
      <c r="B135" t="s">
        <v>750</v>
      </c>
      <c r="C135">
        <v>5.34</v>
      </c>
      <c r="D135" s="13">
        <f t="shared" si="4"/>
        <v>5340000000</v>
      </c>
      <c r="E135">
        <f t="shared" si="5"/>
        <v>5.9155113633278865E-4</v>
      </c>
    </row>
    <row r="136" spans="1:5" x14ac:dyDescent="0.35">
      <c r="A136" t="s">
        <v>285</v>
      </c>
      <c r="B136" t="s">
        <v>782</v>
      </c>
      <c r="C136">
        <v>6.56</v>
      </c>
      <c r="D136" s="13">
        <f t="shared" si="4"/>
        <v>6560000000</v>
      </c>
      <c r="E136">
        <f t="shared" si="5"/>
        <v>7.2669952328522345E-4</v>
      </c>
    </row>
    <row r="137" spans="1:5" x14ac:dyDescent="0.35">
      <c r="A137" t="s">
        <v>269</v>
      </c>
      <c r="B137" t="s">
        <v>767</v>
      </c>
      <c r="C137">
        <v>17.8</v>
      </c>
      <c r="D137" s="13">
        <f t="shared" si="4"/>
        <v>17800000000</v>
      </c>
      <c r="E137">
        <f t="shared" si="5"/>
        <v>1.9718371211092955E-3</v>
      </c>
    </row>
    <row r="138" spans="1:5" x14ac:dyDescent="0.35">
      <c r="A138" t="s">
        <v>463</v>
      </c>
      <c r="B138" t="s">
        <v>951</v>
      </c>
      <c r="C138">
        <v>6.41</v>
      </c>
      <c r="D138" s="13">
        <f t="shared" si="4"/>
        <v>6410000000</v>
      </c>
      <c r="E138">
        <f t="shared" si="5"/>
        <v>7.1008291833205527E-4</v>
      </c>
    </row>
    <row r="139" spans="1:5" x14ac:dyDescent="0.35">
      <c r="A139" t="s">
        <v>242</v>
      </c>
      <c r="B139" t="s">
        <v>742</v>
      </c>
      <c r="C139">
        <v>10.15</v>
      </c>
      <c r="D139" s="13">
        <f t="shared" si="4"/>
        <v>10150000000</v>
      </c>
      <c r="E139">
        <f t="shared" si="5"/>
        <v>1.1243902684977163E-3</v>
      </c>
    </row>
    <row r="140" spans="1:5" x14ac:dyDescent="0.35">
      <c r="A140" t="s">
        <v>455</v>
      </c>
      <c r="B140" t="s">
        <v>455</v>
      </c>
      <c r="C140">
        <v>47.48</v>
      </c>
      <c r="D140" s="13">
        <f t="shared" si="4"/>
        <v>47480000000</v>
      </c>
      <c r="E140">
        <f t="shared" si="5"/>
        <v>5.2597093545095142E-3</v>
      </c>
    </row>
    <row r="141" spans="1:5" x14ac:dyDescent="0.35">
      <c r="A141" t="s">
        <v>355</v>
      </c>
      <c r="B141" t="s">
        <v>851</v>
      </c>
      <c r="C141">
        <v>12.58</v>
      </c>
      <c r="D141" s="13">
        <f t="shared" si="4"/>
        <v>12580000000</v>
      </c>
      <c r="E141">
        <f t="shared" si="5"/>
        <v>1.3935792687390415E-3</v>
      </c>
    </row>
    <row r="142" spans="1:5" x14ac:dyDescent="0.35">
      <c r="A142" t="s">
        <v>1013</v>
      </c>
      <c r="B142" t="s">
        <v>533</v>
      </c>
      <c r="C142">
        <v>45.94</v>
      </c>
      <c r="D142" s="13">
        <f t="shared" si="4"/>
        <v>45940000000</v>
      </c>
      <c r="E142">
        <f t="shared" si="5"/>
        <v>5.0891122103236533E-3</v>
      </c>
    </row>
    <row r="143" spans="1:5" x14ac:dyDescent="0.35">
      <c r="A143" t="s">
        <v>441</v>
      </c>
      <c r="B143" t="s">
        <v>934</v>
      </c>
      <c r="C143">
        <v>3.04</v>
      </c>
      <c r="D143" s="13">
        <f t="shared" si="4"/>
        <v>3040000000</v>
      </c>
      <c r="E143">
        <f t="shared" si="5"/>
        <v>3.3676319371754262E-4</v>
      </c>
    </row>
    <row r="144" spans="1:5" x14ac:dyDescent="0.35">
      <c r="A144" t="s">
        <v>93</v>
      </c>
      <c r="B144" t="s">
        <v>597</v>
      </c>
      <c r="C144">
        <v>5.24</v>
      </c>
      <c r="D144" s="13">
        <f t="shared" si="4"/>
        <v>5240000000</v>
      </c>
      <c r="E144">
        <f t="shared" si="5"/>
        <v>5.8047339969734312E-4</v>
      </c>
    </row>
    <row r="145" spans="1:5" x14ac:dyDescent="0.35">
      <c r="A145" t="s">
        <v>358</v>
      </c>
      <c r="B145" t="s">
        <v>854</v>
      </c>
      <c r="C145">
        <v>11.78</v>
      </c>
      <c r="D145" s="13">
        <f t="shared" si="4"/>
        <v>11780000000</v>
      </c>
      <c r="E145">
        <f t="shared" si="5"/>
        <v>1.3049573756554775E-3</v>
      </c>
    </row>
    <row r="146" spans="1:5" x14ac:dyDescent="0.35">
      <c r="A146" t="s">
        <v>112</v>
      </c>
      <c r="B146" t="s">
        <v>616</v>
      </c>
      <c r="C146">
        <v>8.15</v>
      </c>
      <c r="D146" s="13">
        <f t="shared" si="4"/>
        <v>8150000000</v>
      </c>
      <c r="E146">
        <f t="shared" si="5"/>
        <v>9.028355357888066E-4</v>
      </c>
    </row>
    <row r="147" spans="1:5" x14ac:dyDescent="0.35">
      <c r="A147" t="s">
        <v>152</v>
      </c>
      <c r="B147" t="s">
        <v>656</v>
      </c>
      <c r="C147">
        <v>10.56</v>
      </c>
      <c r="D147" s="13">
        <f t="shared" si="4"/>
        <v>10560000000</v>
      </c>
      <c r="E147">
        <f t="shared" si="5"/>
        <v>1.1698089887030427E-3</v>
      </c>
    </row>
    <row r="148" spans="1:5" x14ac:dyDescent="0.35">
      <c r="A148" t="s">
        <v>318</v>
      </c>
      <c r="B148" t="s">
        <v>815</v>
      </c>
      <c r="C148">
        <v>12.59</v>
      </c>
      <c r="D148" s="13">
        <f t="shared" si="4"/>
        <v>12590000000</v>
      </c>
      <c r="E148">
        <f t="shared" si="5"/>
        <v>1.3946870424025859E-3</v>
      </c>
    </row>
    <row r="149" spans="1:5" x14ac:dyDescent="0.35">
      <c r="A149" t="s">
        <v>511</v>
      </c>
      <c r="B149" t="s">
        <v>993</v>
      </c>
      <c r="C149">
        <v>3.63</v>
      </c>
      <c r="D149" s="13">
        <f t="shared" si="4"/>
        <v>3630000000</v>
      </c>
      <c r="E149">
        <f t="shared" si="5"/>
        <v>4.0212183986667091E-4</v>
      </c>
    </row>
    <row r="150" spans="1:5" x14ac:dyDescent="0.35">
      <c r="A150" t="s">
        <v>288</v>
      </c>
      <c r="B150" t="s">
        <v>785</v>
      </c>
      <c r="C150">
        <v>20.239999999999998</v>
      </c>
      <c r="D150" s="13">
        <f t="shared" si="4"/>
        <v>20240000000</v>
      </c>
      <c r="E150">
        <f t="shared" si="5"/>
        <v>2.2421338950141651E-3</v>
      </c>
    </row>
    <row r="151" spans="1:5" x14ac:dyDescent="0.35">
      <c r="A151" t="s">
        <v>416</v>
      </c>
      <c r="B151" t="s">
        <v>911</v>
      </c>
      <c r="C151">
        <v>21.79</v>
      </c>
      <c r="D151" s="13">
        <f t="shared" si="4"/>
        <v>21790000000</v>
      </c>
      <c r="E151">
        <f t="shared" si="5"/>
        <v>2.41383881286357E-3</v>
      </c>
    </row>
    <row r="152" spans="1:5" x14ac:dyDescent="0.35">
      <c r="A152" t="s">
        <v>398</v>
      </c>
      <c r="B152" t="s">
        <v>894</v>
      </c>
      <c r="C152">
        <v>18.559999999999999</v>
      </c>
      <c r="D152" s="13">
        <f t="shared" si="4"/>
        <v>18560000000</v>
      </c>
      <c r="E152">
        <f t="shared" si="5"/>
        <v>2.0560279195386811E-3</v>
      </c>
    </row>
    <row r="153" spans="1:5" x14ac:dyDescent="0.35">
      <c r="A153" t="s">
        <v>377</v>
      </c>
      <c r="B153" t="s">
        <v>873</v>
      </c>
      <c r="C153">
        <v>24.77</v>
      </c>
      <c r="D153" s="13">
        <f t="shared" si="4"/>
        <v>24770000000</v>
      </c>
      <c r="E153">
        <f t="shared" si="5"/>
        <v>2.7439553645998453E-3</v>
      </c>
    </row>
    <row r="154" spans="1:5" x14ac:dyDescent="0.35">
      <c r="A154" t="s">
        <v>147</v>
      </c>
      <c r="B154" t="s">
        <v>651</v>
      </c>
      <c r="C154">
        <v>6.19</v>
      </c>
      <c r="D154" s="13">
        <f t="shared" si="4"/>
        <v>6190000000</v>
      </c>
      <c r="E154">
        <f t="shared" si="5"/>
        <v>6.8571189773407521E-4</v>
      </c>
    </row>
    <row r="155" spans="1:5" x14ac:dyDescent="0.35">
      <c r="A155" t="s">
        <v>353</v>
      </c>
      <c r="B155" t="s">
        <v>353</v>
      </c>
      <c r="C155">
        <v>7.29</v>
      </c>
      <c r="D155" s="13">
        <f t="shared" si="4"/>
        <v>7290000000</v>
      </c>
      <c r="E155">
        <f t="shared" si="5"/>
        <v>8.0756700072397549E-4</v>
      </c>
    </row>
    <row r="156" spans="1:5" x14ac:dyDescent="0.35">
      <c r="A156" t="s">
        <v>227</v>
      </c>
      <c r="B156" t="s">
        <v>728</v>
      </c>
      <c r="C156">
        <v>18.78</v>
      </c>
      <c r="D156" s="13">
        <f t="shared" si="4"/>
        <v>18780000000</v>
      </c>
      <c r="E156">
        <f t="shared" si="5"/>
        <v>2.080398940136661E-3</v>
      </c>
    </row>
    <row r="157" spans="1:5" x14ac:dyDescent="0.35">
      <c r="A157" t="s">
        <v>495</v>
      </c>
      <c r="B157" t="s">
        <v>979</v>
      </c>
      <c r="C157">
        <v>13.91</v>
      </c>
      <c r="D157" s="13">
        <f t="shared" si="4"/>
        <v>13910000000</v>
      </c>
      <c r="E157">
        <f t="shared" si="5"/>
        <v>1.5409131659904663E-3</v>
      </c>
    </row>
    <row r="158" spans="1:5" x14ac:dyDescent="0.35">
      <c r="A158" t="s">
        <v>509</v>
      </c>
      <c r="B158" t="s">
        <v>991</v>
      </c>
      <c r="C158">
        <v>12.07</v>
      </c>
      <c r="D158" s="13">
        <f t="shared" si="4"/>
        <v>12070000000</v>
      </c>
      <c r="E158">
        <f t="shared" si="5"/>
        <v>1.3370828118982694E-3</v>
      </c>
    </row>
    <row r="159" spans="1:5" x14ac:dyDescent="0.35">
      <c r="A159" t="s">
        <v>127</v>
      </c>
      <c r="B159" t="s">
        <v>631</v>
      </c>
      <c r="C159">
        <v>25.23</v>
      </c>
      <c r="D159" s="13">
        <f t="shared" si="4"/>
        <v>25230000000</v>
      </c>
      <c r="E159">
        <f t="shared" si="5"/>
        <v>2.7949129531228945E-3</v>
      </c>
    </row>
    <row r="160" spans="1:5" x14ac:dyDescent="0.35">
      <c r="A160" t="s">
        <v>27</v>
      </c>
      <c r="B160" t="s">
        <v>27</v>
      </c>
      <c r="C160">
        <v>3.97</v>
      </c>
      <c r="D160" s="13">
        <f t="shared" si="4"/>
        <v>3970000000</v>
      </c>
      <c r="E160">
        <f t="shared" si="5"/>
        <v>4.3978614442718555E-4</v>
      </c>
    </row>
    <row r="161" spans="1:5" x14ac:dyDescent="0.35">
      <c r="A161" t="s">
        <v>231</v>
      </c>
      <c r="B161" t="s">
        <v>231</v>
      </c>
      <c r="C161">
        <v>0.92976999999999999</v>
      </c>
      <c r="D161" s="13">
        <f t="shared" si="4"/>
        <v>929770000</v>
      </c>
      <c r="E161">
        <f t="shared" si="5"/>
        <v>1.0299747191538144E-4</v>
      </c>
    </row>
    <row r="162" spans="1:5" x14ac:dyDescent="0.35">
      <c r="A162" t="s">
        <v>145</v>
      </c>
      <c r="B162" t="s">
        <v>649</v>
      </c>
      <c r="C162">
        <v>6.37</v>
      </c>
      <c r="D162" s="13">
        <f t="shared" si="4"/>
        <v>6370000000</v>
      </c>
      <c r="E162">
        <f t="shared" si="5"/>
        <v>7.0565182367787705E-4</v>
      </c>
    </row>
    <row r="163" spans="1:5" x14ac:dyDescent="0.35">
      <c r="A163" t="s">
        <v>306</v>
      </c>
      <c r="B163" t="s">
        <v>803</v>
      </c>
      <c r="C163">
        <v>10.6</v>
      </c>
      <c r="D163" s="13">
        <f t="shared" si="4"/>
        <v>10600000000</v>
      </c>
      <c r="E163">
        <f t="shared" si="5"/>
        <v>1.1742400833572209E-3</v>
      </c>
    </row>
    <row r="164" spans="1:5" x14ac:dyDescent="0.35">
      <c r="A164" t="s">
        <v>30</v>
      </c>
      <c r="B164" t="s">
        <v>540</v>
      </c>
      <c r="C164">
        <v>87.63</v>
      </c>
      <c r="D164" s="13">
        <f t="shared" si="4"/>
        <v>87630000000</v>
      </c>
      <c r="E164">
        <f t="shared" si="5"/>
        <v>9.7074206136408738E-3</v>
      </c>
    </row>
    <row r="165" spans="1:5" x14ac:dyDescent="0.35">
      <c r="A165" t="s">
        <v>239</v>
      </c>
      <c r="B165" t="s">
        <v>739</v>
      </c>
      <c r="C165">
        <v>6.67</v>
      </c>
      <c r="D165" s="13">
        <f t="shared" si="4"/>
        <v>6670000000</v>
      </c>
      <c r="E165">
        <f t="shared" si="5"/>
        <v>7.3888503358421353E-4</v>
      </c>
    </row>
    <row r="166" spans="1:5" x14ac:dyDescent="0.35">
      <c r="A166" t="s">
        <v>74</v>
      </c>
      <c r="B166" t="s">
        <v>579</v>
      </c>
      <c r="C166">
        <v>63.25</v>
      </c>
      <c r="D166" s="13">
        <f t="shared" si="4"/>
        <v>63250000000</v>
      </c>
      <c r="E166">
        <f t="shared" si="5"/>
        <v>7.0066684219192666E-3</v>
      </c>
    </row>
    <row r="167" spans="1:5" x14ac:dyDescent="0.35">
      <c r="A167" t="s">
        <v>229</v>
      </c>
      <c r="B167" t="s">
        <v>730</v>
      </c>
      <c r="C167">
        <v>15.65</v>
      </c>
      <c r="D167" s="13">
        <f t="shared" si="4"/>
        <v>15650000000</v>
      </c>
      <c r="E167">
        <f t="shared" si="5"/>
        <v>1.7336657834472176E-3</v>
      </c>
    </row>
    <row r="168" spans="1:5" x14ac:dyDescent="0.35">
      <c r="A168" t="s">
        <v>221</v>
      </c>
      <c r="B168" t="s">
        <v>722</v>
      </c>
      <c r="C168">
        <v>21.3</v>
      </c>
      <c r="D168" s="13">
        <f t="shared" si="4"/>
        <v>21300000000</v>
      </c>
      <c r="E168">
        <f t="shared" si="5"/>
        <v>2.3595579033498875E-3</v>
      </c>
    </row>
    <row r="169" spans="1:5" x14ac:dyDescent="0.35">
      <c r="A169" t="s">
        <v>436</v>
      </c>
      <c r="B169" t="s">
        <v>929</v>
      </c>
      <c r="C169">
        <v>34.67</v>
      </c>
      <c r="D169" s="13">
        <f t="shared" si="4"/>
        <v>34670000000</v>
      </c>
      <c r="E169">
        <f t="shared" si="5"/>
        <v>3.8406512915089481E-3</v>
      </c>
    </row>
    <row r="170" spans="1:5" x14ac:dyDescent="0.35">
      <c r="A170" t="s">
        <v>268</v>
      </c>
      <c r="B170" t="s">
        <v>766</v>
      </c>
      <c r="C170">
        <v>8.41</v>
      </c>
      <c r="D170" s="13">
        <f t="shared" si="4"/>
        <v>8410000000</v>
      </c>
      <c r="E170">
        <f t="shared" si="5"/>
        <v>9.3163765104096487E-4</v>
      </c>
    </row>
    <row r="171" spans="1:5" x14ac:dyDescent="0.35">
      <c r="A171" t="s">
        <v>105</v>
      </c>
      <c r="B171" t="s">
        <v>609</v>
      </c>
      <c r="C171">
        <v>41.1</v>
      </c>
      <c r="D171" s="13">
        <f t="shared" si="4"/>
        <v>41100000000</v>
      </c>
      <c r="E171">
        <f t="shared" si="5"/>
        <v>4.5529497571680927E-3</v>
      </c>
    </row>
    <row r="172" spans="1:5" x14ac:dyDescent="0.35">
      <c r="A172" t="s">
        <v>180</v>
      </c>
      <c r="B172" t="s">
        <v>684</v>
      </c>
      <c r="C172">
        <v>59.47</v>
      </c>
      <c r="D172" s="13">
        <f t="shared" si="4"/>
        <v>59470000000</v>
      </c>
      <c r="E172">
        <f t="shared" si="5"/>
        <v>6.5879299770994267E-3</v>
      </c>
    </row>
    <row r="173" spans="1:5" x14ac:dyDescent="0.35">
      <c r="A173" t="s">
        <v>67</v>
      </c>
      <c r="B173" t="s">
        <v>574</v>
      </c>
      <c r="C173">
        <v>9.09</v>
      </c>
      <c r="D173" s="13">
        <f t="shared" si="4"/>
        <v>9090000000</v>
      </c>
      <c r="E173">
        <f t="shared" si="5"/>
        <v>1.0069662601619941E-3</v>
      </c>
    </row>
    <row r="174" spans="1:5" x14ac:dyDescent="0.35">
      <c r="A174" t="s">
        <v>403</v>
      </c>
      <c r="B174" t="s">
        <v>403</v>
      </c>
      <c r="C174">
        <v>6.04</v>
      </c>
      <c r="D174" s="13">
        <f t="shared" si="4"/>
        <v>6040000000</v>
      </c>
      <c r="E174">
        <f t="shared" si="5"/>
        <v>6.6909529278090703E-4</v>
      </c>
    </row>
    <row r="175" spans="1:5" x14ac:dyDescent="0.35">
      <c r="A175" t="s">
        <v>87</v>
      </c>
      <c r="B175" t="s">
        <v>591</v>
      </c>
      <c r="C175">
        <v>13.7</v>
      </c>
      <c r="D175" s="13">
        <f t="shared" si="4"/>
        <v>13700000000</v>
      </c>
      <c r="E175">
        <f t="shared" si="5"/>
        <v>1.5176499190560308E-3</v>
      </c>
    </row>
    <row r="176" spans="1:5" x14ac:dyDescent="0.35">
      <c r="A176" t="s">
        <v>174</v>
      </c>
      <c r="B176" t="s">
        <v>678</v>
      </c>
      <c r="C176">
        <v>11.64</v>
      </c>
      <c r="D176" s="13">
        <f t="shared" si="4"/>
        <v>11640000000</v>
      </c>
      <c r="E176">
        <f t="shared" si="5"/>
        <v>1.2894485443658539E-3</v>
      </c>
    </row>
    <row r="177" spans="1:5" x14ac:dyDescent="0.35">
      <c r="A177" t="s">
        <v>424</v>
      </c>
      <c r="B177" t="s">
        <v>919</v>
      </c>
      <c r="C177">
        <v>13.92</v>
      </c>
      <c r="D177" s="13">
        <f t="shared" si="4"/>
        <v>13920000000</v>
      </c>
      <c r="E177">
        <f t="shared" si="5"/>
        <v>1.5420209396540109E-3</v>
      </c>
    </row>
    <row r="178" spans="1:5" x14ac:dyDescent="0.35">
      <c r="A178" t="s">
        <v>466</v>
      </c>
      <c r="B178" t="s">
        <v>953</v>
      </c>
      <c r="C178">
        <v>11.78</v>
      </c>
      <c r="D178" s="13">
        <f t="shared" si="4"/>
        <v>11780000000</v>
      </c>
      <c r="E178">
        <f t="shared" si="5"/>
        <v>1.3049573756554775E-3</v>
      </c>
    </row>
    <row r="179" spans="1:5" x14ac:dyDescent="0.35">
      <c r="A179" t="s">
        <v>467</v>
      </c>
      <c r="B179" t="s">
        <v>954</v>
      </c>
      <c r="C179">
        <v>16.03</v>
      </c>
      <c r="D179" s="13">
        <f t="shared" si="4"/>
        <v>16030000000.000002</v>
      </c>
      <c r="E179">
        <f t="shared" si="5"/>
        <v>1.7757611826619106E-3</v>
      </c>
    </row>
    <row r="180" spans="1:5" x14ac:dyDescent="0.35">
      <c r="A180" t="s">
        <v>142</v>
      </c>
      <c r="B180" t="s">
        <v>646</v>
      </c>
      <c r="C180">
        <v>19.59</v>
      </c>
      <c r="D180" s="13">
        <f t="shared" si="4"/>
        <v>19590000000</v>
      </c>
      <c r="E180">
        <f t="shared" si="5"/>
        <v>2.1701286068837697E-3</v>
      </c>
    </row>
    <row r="181" spans="1:5" x14ac:dyDescent="0.35">
      <c r="A181" t="s">
        <v>82</v>
      </c>
      <c r="B181" t="s">
        <v>82</v>
      </c>
      <c r="C181">
        <v>38.86</v>
      </c>
      <c r="D181" s="13">
        <f t="shared" si="4"/>
        <v>38860000000</v>
      </c>
      <c r="E181">
        <f t="shared" si="5"/>
        <v>4.3048084565341137E-3</v>
      </c>
    </row>
    <row r="182" spans="1:5" x14ac:dyDescent="0.35">
      <c r="A182" t="s">
        <v>399</v>
      </c>
      <c r="B182" t="s">
        <v>895</v>
      </c>
      <c r="C182">
        <v>22.51</v>
      </c>
      <c r="D182" s="13">
        <f t="shared" si="4"/>
        <v>22510000000</v>
      </c>
      <c r="E182">
        <f t="shared" si="5"/>
        <v>2.4935985166387774E-3</v>
      </c>
    </row>
    <row r="183" spans="1:5" x14ac:dyDescent="0.35">
      <c r="A183" t="s">
        <v>39</v>
      </c>
      <c r="B183" t="s">
        <v>549</v>
      </c>
      <c r="C183">
        <v>19.670000000000002</v>
      </c>
      <c r="D183" s="13">
        <f t="shared" si="4"/>
        <v>19670000000</v>
      </c>
      <c r="E183">
        <f t="shared" si="5"/>
        <v>2.1789907961921261E-3</v>
      </c>
    </row>
    <row r="184" spans="1:5" x14ac:dyDescent="0.35">
      <c r="A184" t="s">
        <v>428</v>
      </c>
      <c r="B184" t="s">
        <v>429</v>
      </c>
      <c r="C184">
        <v>11.3</v>
      </c>
      <c r="D184" s="13">
        <f t="shared" si="4"/>
        <v>11300000000</v>
      </c>
      <c r="E184">
        <f t="shared" si="5"/>
        <v>1.2517842398053394E-3</v>
      </c>
    </row>
    <row r="185" spans="1:5" x14ac:dyDescent="0.35">
      <c r="A185" t="s">
        <v>313</v>
      </c>
      <c r="B185" t="s">
        <v>810</v>
      </c>
      <c r="C185">
        <v>10.81</v>
      </c>
      <c r="D185" s="13">
        <f t="shared" si="4"/>
        <v>10810000000</v>
      </c>
      <c r="E185">
        <f t="shared" si="5"/>
        <v>1.1975033302916564E-3</v>
      </c>
    </row>
    <row r="186" spans="1:5" x14ac:dyDescent="0.35">
      <c r="A186" t="s">
        <v>258</v>
      </c>
      <c r="B186" t="s">
        <v>756</v>
      </c>
      <c r="C186">
        <v>7.47</v>
      </c>
      <c r="D186" s="13">
        <f t="shared" si="4"/>
        <v>7470000000</v>
      </c>
      <c r="E186">
        <f t="shared" si="5"/>
        <v>8.2750692666777733E-4</v>
      </c>
    </row>
    <row r="187" spans="1:5" x14ac:dyDescent="0.35">
      <c r="A187" t="s">
        <v>297</v>
      </c>
      <c r="B187" t="s">
        <v>794</v>
      </c>
      <c r="C187">
        <v>8.1999999999999993</v>
      </c>
      <c r="D187" s="13">
        <f t="shared" si="4"/>
        <v>8199999999.999999</v>
      </c>
      <c r="E187">
        <f t="shared" si="5"/>
        <v>9.0837440410652926E-4</v>
      </c>
    </row>
    <row r="188" spans="1:5" x14ac:dyDescent="0.35">
      <c r="A188" t="s">
        <v>439</v>
      </c>
      <c r="B188" t="s">
        <v>932</v>
      </c>
      <c r="C188">
        <v>6.91</v>
      </c>
      <c r="D188" s="13">
        <f t="shared" si="4"/>
        <v>6910000000</v>
      </c>
      <c r="E188">
        <f t="shared" si="5"/>
        <v>7.6547160150928269E-4</v>
      </c>
    </row>
    <row r="189" spans="1:5" x14ac:dyDescent="0.35">
      <c r="A189" t="s">
        <v>80</v>
      </c>
      <c r="B189" t="s">
        <v>585</v>
      </c>
      <c r="C189">
        <v>28.43</v>
      </c>
      <c r="D189" s="13">
        <f t="shared" si="4"/>
        <v>28430000000</v>
      </c>
      <c r="E189">
        <f t="shared" si="5"/>
        <v>3.1494005254571501E-3</v>
      </c>
    </row>
    <row r="190" spans="1:5" x14ac:dyDescent="0.35">
      <c r="A190" t="s">
        <v>286</v>
      </c>
      <c r="B190" t="s">
        <v>783</v>
      </c>
      <c r="C190">
        <v>7.95</v>
      </c>
      <c r="D190" s="13">
        <f t="shared" si="4"/>
        <v>7950000000</v>
      </c>
      <c r="E190">
        <f t="shared" si="5"/>
        <v>8.8068006251791565E-4</v>
      </c>
    </row>
    <row r="191" spans="1:5" x14ac:dyDescent="0.35">
      <c r="A191" t="s">
        <v>125</v>
      </c>
      <c r="B191" t="s">
        <v>629</v>
      </c>
      <c r="C191">
        <v>13.73</v>
      </c>
      <c r="D191" s="13">
        <f t="shared" si="4"/>
        <v>13730000000</v>
      </c>
      <c r="E191">
        <f t="shared" si="5"/>
        <v>1.5209732400466645E-3</v>
      </c>
    </row>
    <row r="192" spans="1:5" x14ac:dyDescent="0.35">
      <c r="A192" t="s">
        <v>325</v>
      </c>
      <c r="B192" t="s">
        <v>822</v>
      </c>
      <c r="C192">
        <v>4.9800000000000004</v>
      </c>
      <c r="D192" s="13">
        <f t="shared" si="4"/>
        <v>4980000000</v>
      </c>
      <c r="E192">
        <f t="shared" si="5"/>
        <v>5.5167128444518496E-4</v>
      </c>
    </row>
    <row r="193" spans="1:5" x14ac:dyDescent="0.35">
      <c r="A193" t="s">
        <v>475</v>
      </c>
      <c r="B193" t="s">
        <v>961</v>
      </c>
      <c r="C193">
        <v>18.87</v>
      </c>
      <c r="D193" s="13">
        <f t="shared" si="4"/>
        <v>18870000000</v>
      </c>
      <c r="E193">
        <f t="shared" si="5"/>
        <v>2.0903689031085623E-3</v>
      </c>
    </row>
    <row r="194" spans="1:5" x14ac:dyDescent="0.35">
      <c r="A194" t="s">
        <v>433</v>
      </c>
      <c r="B194" t="s">
        <v>926</v>
      </c>
      <c r="C194">
        <v>89.18</v>
      </c>
      <c r="D194" s="13">
        <f t="shared" si="4"/>
        <v>89180000000</v>
      </c>
      <c r="E194">
        <f t="shared" si="5"/>
        <v>9.8791255314902796E-3</v>
      </c>
    </row>
    <row r="195" spans="1:5" x14ac:dyDescent="0.35">
      <c r="A195" t="s">
        <v>270</v>
      </c>
      <c r="B195" t="s">
        <v>768</v>
      </c>
      <c r="C195">
        <v>13.04</v>
      </c>
      <c r="D195" s="13">
        <f t="shared" ref="D195:D212" si="6">C195*1000000000</f>
        <v>13040000000</v>
      </c>
      <c r="E195">
        <f t="shared" ref="E195:E212" si="7">D195/$D$213</f>
        <v>1.4445368572620907E-3</v>
      </c>
    </row>
    <row r="196" spans="1:5" x14ac:dyDescent="0.35">
      <c r="A196" t="s">
        <v>48</v>
      </c>
      <c r="B196" t="s">
        <v>556</v>
      </c>
      <c r="C196">
        <v>7.07</v>
      </c>
      <c r="D196" s="13">
        <f t="shared" si="6"/>
        <v>7070000000</v>
      </c>
      <c r="E196">
        <f t="shared" si="7"/>
        <v>7.8319598012599543E-4</v>
      </c>
    </row>
    <row r="197" spans="1:5" x14ac:dyDescent="0.35">
      <c r="A197" t="s">
        <v>407</v>
      </c>
      <c r="B197" t="s">
        <v>902</v>
      </c>
      <c r="C197">
        <v>9.36</v>
      </c>
      <c r="D197" s="13">
        <f t="shared" si="6"/>
        <v>9360000000</v>
      </c>
      <c r="E197">
        <f t="shared" si="7"/>
        <v>1.036876149077697E-3</v>
      </c>
    </row>
    <row r="198" spans="1:5" x14ac:dyDescent="0.35">
      <c r="A198" t="s">
        <v>426</v>
      </c>
      <c r="B198" t="s">
        <v>921</v>
      </c>
      <c r="C198">
        <v>60.16</v>
      </c>
      <c r="D198" s="13">
        <f t="shared" si="6"/>
        <v>60160000000</v>
      </c>
      <c r="E198">
        <f t="shared" si="7"/>
        <v>6.6643663598840008E-3</v>
      </c>
    </row>
    <row r="199" spans="1:5" x14ac:dyDescent="0.35">
      <c r="A199" t="s">
        <v>370</v>
      </c>
      <c r="B199" t="s">
        <v>866</v>
      </c>
      <c r="C199">
        <v>17.73</v>
      </c>
      <c r="D199" s="13">
        <f t="shared" si="6"/>
        <v>17730000000</v>
      </c>
      <c r="E199">
        <f t="shared" si="7"/>
        <v>1.9640827054644835E-3</v>
      </c>
    </row>
    <row r="200" spans="1:5" x14ac:dyDescent="0.35">
      <c r="A200" t="s">
        <v>356</v>
      </c>
      <c r="B200" t="s">
        <v>852</v>
      </c>
      <c r="C200">
        <v>7.76</v>
      </c>
      <c r="D200" s="13">
        <f t="shared" si="6"/>
        <v>7760000000</v>
      </c>
      <c r="E200">
        <f t="shared" si="7"/>
        <v>8.5963236291056926E-4</v>
      </c>
    </row>
    <row r="201" spans="1:5" x14ac:dyDescent="0.35">
      <c r="A201" t="s">
        <v>197</v>
      </c>
      <c r="B201" t="s">
        <v>699</v>
      </c>
      <c r="C201">
        <v>63.79</v>
      </c>
      <c r="D201" s="13">
        <f t="shared" si="6"/>
        <v>63790000000</v>
      </c>
      <c r="E201">
        <f t="shared" si="7"/>
        <v>7.0664881997506718E-3</v>
      </c>
    </row>
    <row r="202" spans="1:5" x14ac:dyDescent="0.35">
      <c r="A202" t="s">
        <v>89</v>
      </c>
      <c r="B202" t="s">
        <v>593</v>
      </c>
      <c r="C202">
        <v>9.33</v>
      </c>
      <c r="D202" s="13">
        <f t="shared" si="6"/>
        <v>9330000000</v>
      </c>
      <c r="E202">
        <f t="shared" si="7"/>
        <v>1.0335528280870634E-3</v>
      </c>
    </row>
    <row r="203" spans="1:5" x14ac:dyDescent="0.35">
      <c r="A203" t="s">
        <v>110</v>
      </c>
      <c r="B203" t="s">
        <v>614</v>
      </c>
      <c r="C203">
        <v>16.09</v>
      </c>
      <c r="D203" s="13">
        <f t="shared" si="6"/>
        <v>16090000000</v>
      </c>
      <c r="E203">
        <f t="shared" si="7"/>
        <v>1.7824078246431777E-3</v>
      </c>
    </row>
    <row r="204" spans="1:5" x14ac:dyDescent="0.35">
      <c r="A204" t="s">
        <v>279</v>
      </c>
      <c r="B204" t="s">
        <v>777</v>
      </c>
      <c r="C204">
        <v>20.9</v>
      </c>
      <c r="D204" s="13">
        <f t="shared" si="6"/>
        <v>20900000000</v>
      </c>
      <c r="E204">
        <f t="shared" si="7"/>
        <v>2.3152469568081054E-3</v>
      </c>
    </row>
    <row r="205" spans="1:5" x14ac:dyDescent="0.35">
      <c r="A205" t="s">
        <v>311</v>
      </c>
      <c r="B205" t="s">
        <v>808</v>
      </c>
      <c r="C205">
        <v>10.94</v>
      </c>
      <c r="D205" s="13">
        <f t="shared" si="6"/>
        <v>10940000000</v>
      </c>
      <c r="E205">
        <f t="shared" si="7"/>
        <v>1.2119043879177355E-3</v>
      </c>
    </row>
    <row r="206" spans="1:5" x14ac:dyDescent="0.35">
      <c r="A206" t="s">
        <v>502</v>
      </c>
      <c r="B206" t="s">
        <v>986</v>
      </c>
      <c r="C206">
        <v>8.83</v>
      </c>
      <c r="D206" s="13">
        <f t="shared" si="6"/>
        <v>8830000000</v>
      </c>
      <c r="E206">
        <f t="shared" si="7"/>
        <v>9.7816414490983598E-4</v>
      </c>
    </row>
    <row r="207" spans="1:5" x14ac:dyDescent="0.35">
      <c r="A207" t="s">
        <v>156</v>
      </c>
      <c r="B207" t="s">
        <v>660</v>
      </c>
      <c r="C207">
        <v>11.56</v>
      </c>
      <c r="D207" s="13">
        <f t="shared" si="6"/>
        <v>11560000000</v>
      </c>
      <c r="E207">
        <f t="shared" si="7"/>
        <v>1.2805863550574975E-3</v>
      </c>
    </row>
    <row r="208" spans="1:5" x14ac:dyDescent="0.35">
      <c r="A208" t="s">
        <v>230</v>
      </c>
      <c r="B208" t="s">
        <v>731</v>
      </c>
      <c r="C208">
        <v>32.53</v>
      </c>
      <c r="D208" s="13">
        <f t="shared" si="6"/>
        <v>32530000000</v>
      </c>
      <c r="E208">
        <f t="shared" si="7"/>
        <v>3.6035877275104149E-3</v>
      </c>
    </row>
    <row r="209" spans="1:5" x14ac:dyDescent="0.35">
      <c r="A209" t="s">
        <v>192</v>
      </c>
      <c r="B209" t="s">
        <v>694</v>
      </c>
      <c r="C209">
        <v>71.02</v>
      </c>
      <c r="D209" s="13">
        <f t="shared" si="6"/>
        <v>71020000000</v>
      </c>
      <c r="E209">
        <f t="shared" si="7"/>
        <v>7.8674085584933794E-3</v>
      </c>
    </row>
    <row r="210" spans="1:5" x14ac:dyDescent="0.35">
      <c r="A210" t="s">
        <v>121</v>
      </c>
      <c r="B210" t="s">
        <v>625</v>
      </c>
      <c r="C210">
        <v>5.3</v>
      </c>
      <c r="D210" s="13">
        <f t="shared" si="6"/>
        <v>5300000000</v>
      </c>
      <c r="E210">
        <f t="shared" si="7"/>
        <v>5.8712004167861044E-4</v>
      </c>
    </row>
    <row r="211" spans="1:5" x14ac:dyDescent="0.35">
      <c r="A211" t="s">
        <v>284</v>
      </c>
      <c r="B211" t="s">
        <v>284</v>
      </c>
      <c r="C211">
        <v>132.9</v>
      </c>
      <c r="D211" s="13">
        <f t="shared" si="6"/>
        <v>132900000000</v>
      </c>
      <c r="E211">
        <f t="shared" si="7"/>
        <v>1.4722311988507044E-2</v>
      </c>
    </row>
    <row r="212" spans="1:5" ht="16" x14ac:dyDescent="0.5">
      <c r="A212" t="s">
        <v>117</v>
      </c>
      <c r="B212" t="s">
        <v>621</v>
      </c>
      <c r="C212">
        <v>583.61</v>
      </c>
      <c r="D212" s="20">
        <f t="shared" si="6"/>
        <v>583610000000</v>
      </c>
      <c r="E212" s="10">
        <f t="shared" si="7"/>
        <v>6.4650778778123363E-2</v>
      </c>
    </row>
    <row r="213" spans="1:5" x14ac:dyDescent="0.35">
      <c r="D213" s="14">
        <f>SUM(D2:D212)</f>
        <v>9027114770000</v>
      </c>
      <c r="E213" s="21">
        <f>SUM(E2:E212)</f>
        <v>0.99999999999999889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BD824-F638-4540-9DF9-3EC287F28843}">
  <sheetPr codeName="Sheet6"/>
  <dimension ref="A1:E277"/>
  <sheetViews>
    <sheetView workbookViewId="0">
      <selection activeCell="E277" sqref="E277"/>
    </sheetView>
  </sheetViews>
  <sheetFormatPr defaultColWidth="8.81640625" defaultRowHeight="14.5" x14ac:dyDescent="0.35"/>
  <cols>
    <col min="4" max="4" width="19" customWidth="1"/>
  </cols>
  <sheetData>
    <row r="1" spans="1:5" x14ac:dyDescent="0.35">
      <c r="A1" t="s">
        <v>0</v>
      </c>
      <c r="B1" t="s">
        <v>1</v>
      </c>
      <c r="C1" t="s">
        <v>1034</v>
      </c>
      <c r="D1" t="s">
        <v>1035</v>
      </c>
    </row>
    <row r="2" spans="1:5" x14ac:dyDescent="0.35">
      <c r="A2" t="s">
        <v>123</v>
      </c>
      <c r="B2" t="s">
        <v>627</v>
      </c>
      <c r="C2">
        <v>211.45</v>
      </c>
      <c r="D2" s="13">
        <f>C2*1000000000</f>
        <v>211450000000</v>
      </c>
      <c r="E2">
        <f>D2/$D$277</f>
        <v>2.4384899698432192E-2</v>
      </c>
    </row>
    <row r="3" spans="1:5" x14ac:dyDescent="0.35">
      <c r="A3" t="s">
        <v>278</v>
      </c>
      <c r="B3" t="s">
        <v>776</v>
      </c>
      <c r="C3">
        <v>79.819999999999993</v>
      </c>
      <c r="D3" s="13">
        <f t="shared" ref="D3:D66" si="0">C3*1000000000</f>
        <v>79820000000</v>
      </c>
      <c r="E3">
        <f t="shared" ref="E3:E66" si="1">D3/$D$277</f>
        <v>9.2050257457028037E-3</v>
      </c>
    </row>
    <row r="4" spans="1:5" x14ac:dyDescent="0.35">
      <c r="A4" t="s">
        <v>366</v>
      </c>
      <c r="B4" t="s">
        <v>862</v>
      </c>
      <c r="C4">
        <v>34.229999999999997</v>
      </c>
      <c r="D4" s="13">
        <f t="shared" si="0"/>
        <v>34229999999.999996</v>
      </c>
      <c r="E4">
        <f t="shared" si="1"/>
        <v>3.9474822259509762E-3</v>
      </c>
    </row>
    <row r="5" spans="1:5" x14ac:dyDescent="0.35">
      <c r="A5" t="s">
        <v>326</v>
      </c>
      <c r="B5" t="s">
        <v>823</v>
      </c>
      <c r="C5">
        <v>66.23</v>
      </c>
      <c r="D5" s="13">
        <f t="shared" si="0"/>
        <v>66230000000.000008</v>
      </c>
      <c r="E5">
        <f t="shared" si="1"/>
        <v>7.6377957296153431E-3</v>
      </c>
    </row>
    <row r="6" spans="1:5" x14ac:dyDescent="0.35">
      <c r="A6" t="s">
        <v>408</v>
      </c>
      <c r="B6" t="s">
        <v>903</v>
      </c>
      <c r="C6">
        <v>80.540000000000006</v>
      </c>
      <c r="D6" s="13">
        <f t="shared" si="0"/>
        <v>80540000000</v>
      </c>
      <c r="E6">
        <f t="shared" si="1"/>
        <v>9.2880577995352511E-3</v>
      </c>
    </row>
    <row r="7" spans="1:5" x14ac:dyDescent="0.35">
      <c r="A7" t="s">
        <v>140</v>
      </c>
      <c r="B7" t="s">
        <v>644</v>
      </c>
      <c r="C7">
        <v>96.39</v>
      </c>
      <c r="D7" s="13">
        <f t="shared" si="0"/>
        <v>96390000000</v>
      </c>
      <c r="E7">
        <f t="shared" si="1"/>
        <v>1.1115916206819008E-2</v>
      </c>
    </row>
    <row r="8" spans="1:5" x14ac:dyDescent="0.35">
      <c r="A8" t="s">
        <v>68</v>
      </c>
      <c r="B8" t="s">
        <v>575</v>
      </c>
      <c r="C8">
        <v>112.11</v>
      </c>
      <c r="D8" s="13">
        <f t="shared" si="0"/>
        <v>112110000000</v>
      </c>
      <c r="E8">
        <f t="shared" si="1"/>
        <v>1.2928782715494127E-2</v>
      </c>
    </row>
    <row r="9" spans="1:5" x14ac:dyDescent="0.35">
      <c r="A9" t="s">
        <v>493</v>
      </c>
      <c r="B9" t="s">
        <v>977</v>
      </c>
      <c r="C9">
        <v>276.81</v>
      </c>
      <c r="D9" s="13">
        <f t="shared" si="0"/>
        <v>276810000000</v>
      </c>
      <c r="E9">
        <f t="shared" si="1"/>
        <v>3.1922365029666659E-2</v>
      </c>
    </row>
    <row r="10" spans="1:5" x14ac:dyDescent="0.35">
      <c r="A10" t="s">
        <v>277</v>
      </c>
      <c r="B10" t="s">
        <v>775</v>
      </c>
      <c r="C10">
        <v>167.68</v>
      </c>
      <c r="D10" s="13">
        <f t="shared" si="0"/>
        <v>167680000000</v>
      </c>
      <c r="E10">
        <f t="shared" si="1"/>
        <v>1.9337242759201279E-2</v>
      </c>
    </row>
    <row r="11" spans="1:5" x14ac:dyDescent="0.35">
      <c r="A11" t="s">
        <v>351</v>
      </c>
      <c r="B11" t="s">
        <v>848</v>
      </c>
      <c r="C11">
        <v>61.08</v>
      </c>
      <c r="D11" s="13">
        <f t="shared" si="0"/>
        <v>61080000000</v>
      </c>
      <c r="E11">
        <f t="shared" si="1"/>
        <v>7.043885900119359E-3</v>
      </c>
    </row>
    <row r="12" spans="1:5" x14ac:dyDescent="0.35">
      <c r="A12" t="s">
        <v>472</v>
      </c>
      <c r="B12" t="s">
        <v>472</v>
      </c>
      <c r="C12">
        <v>85.26</v>
      </c>
      <c r="D12" s="13">
        <f t="shared" si="0"/>
        <v>85260000000</v>
      </c>
      <c r="E12">
        <f t="shared" si="1"/>
        <v>9.8323790413257454E-3</v>
      </c>
    </row>
    <row r="13" spans="1:5" x14ac:dyDescent="0.35">
      <c r="A13" t="s">
        <v>259</v>
      </c>
      <c r="B13" t="s">
        <v>757</v>
      </c>
      <c r="C13">
        <v>42.99</v>
      </c>
      <c r="D13" s="13">
        <f t="shared" si="0"/>
        <v>42990000000</v>
      </c>
      <c r="E13">
        <f t="shared" si="1"/>
        <v>4.9577055475790964E-3</v>
      </c>
    </row>
    <row r="14" spans="1:5" x14ac:dyDescent="0.35">
      <c r="A14" t="s">
        <v>260</v>
      </c>
      <c r="B14" t="s">
        <v>758</v>
      </c>
      <c r="C14">
        <v>292.16000000000003</v>
      </c>
      <c r="D14" s="13">
        <f t="shared" si="0"/>
        <v>292160000000</v>
      </c>
      <c r="E14">
        <f t="shared" si="1"/>
        <v>3.3692562288455664E-2</v>
      </c>
    </row>
    <row r="15" spans="1:5" x14ac:dyDescent="0.35">
      <c r="A15" t="s">
        <v>162</v>
      </c>
      <c r="B15" t="s">
        <v>666</v>
      </c>
      <c r="C15">
        <v>20.59</v>
      </c>
      <c r="D15" s="13">
        <f t="shared" si="0"/>
        <v>20590000000</v>
      </c>
      <c r="E15">
        <f t="shared" si="1"/>
        <v>2.3744860950140403E-3</v>
      </c>
    </row>
    <row r="16" spans="1:5" x14ac:dyDescent="0.35">
      <c r="A16" t="s">
        <v>389</v>
      </c>
      <c r="B16" t="s">
        <v>885</v>
      </c>
      <c r="C16">
        <v>199.33</v>
      </c>
      <c r="D16" s="13">
        <f t="shared" si="0"/>
        <v>199330000000</v>
      </c>
      <c r="E16">
        <f t="shared" si="1"/>
        <v>2.2987193458919315E-2</v>
      </c>
    </row>
    <row r="17" spans="1:5" x14ac:dyDescent="0.35">
      <c r="A17" t="s">
        <v>262</v>
      </c>
      <c r="B17" t="s">
        <v>760</v>
      </c>
      <c r="C17">
        <v>51.02</v>
      </c>
      <c r="D17" s="13">
        <f t="shared" si="0"/>
        <v>51020000000</v>
      </c>
      <c r="E17">
        <f t="shared" si="1"/>
        <v>5.8837435924048737E-3</v>
      </c>
    </row>
    <row r="18" spans="1:5" x14ac:dyDescent="0.35">
      <c r="A18" t="s">
        <v>86</v>
      </c>
      <c r="B18" t="s">
        <v>590</v>
      </c>
      <c r="C18">
        <v>25.42</v>
      </c>
      <c r="D18" s="13">
        <f t="shared" si="0"/>
        <v>25420000000</v>
      </c>
      <c r="E18">
        <f t="shared" si="1"/>
        <v>2.9314927894733807E-3</v>
      </c>
    </row>
    <row r="19" spans="1:5" x14ac:dyDescent="0.35">
      <c r="A19" t="s">
        <v>200</v>
      </c>
      <c r="B19" t="s">
        <v>702</v>
      </c>
      <c r="C19">
        <v>39.479999999999997</v>
      </c>
      <c r="D19" s="13">
        <f t="shared" si="0"/>
        <v>39480000000</v>
      </c>
      <c r="E19">
        <f t="shared" si="1"/>
        <v>4.552924285145912E-3</v>
      </c>
    </row>
    <row r="20" spans="1:5" x14ac:dyDescent="0.35">
      <c r="A20" t="s">
        <v>376</v>
      </c>
      <c r="B20" t="s">
        <v>872</v>
      </c>
      <c r="C20">
        <v>153.47</v>
      </c>
      <c r="D20" s="13">
        <f t="shared" si="0"/>
        <v>153470000000</v>
      </c>
      <c r="E20">
        <f t="shared" si="1"/>
        <v>1.7698512918980322E-2</v>
      </c>
    </row>
    <row r="21" spans="1:5" x14ac:dyDescent="0.35">
      <c r="A21" t="s">
        <v>489</v>
      </c>
      <c r="B21" t="s">
        <v>973</v>
      </c>
      <c r="C21">
        <v>196.28</v>
      </c>
      <c r="D21" s="13">
        <f t="shared" si="0"/>
        <v>196280000000</v>
      </c>
      <c r="E21">
        <f t="shared" si="1"/>
        <v>2.2635460453101306E-2</v>
      </c>
    </row>
    <row r="22" spans="1:5" x14ac:dyDescent="0.35">
      <c r="A22" t="s">
        <v>171</v>
      </c>
      <c r="B22" t="s">
        <v>675</v>
      </c>
      <c r="C22">
        <v>137.84</v>
      </c>
      <c r="D22" s="13">
        <f t="shared" si="0"/>
        <v>137840000000</v>
      </c>
      <c r="E22">
        <f t="shared" si="1"/>
        <v>1.5896025417034255E-2</v>
      </c>
    </row>
    <row r="23" spans="1:5" x14ac:dyDescent="0.35">
      <c r="A23" t="s">
        <v>109</v>
      </c>
      <c r="B23" t="s">
        <v>613</v>
      </c>
      <c r="C23">
        <v>122.4</v>
      </c>
      <c r="D23" s="13">
        <f t="shared" si="0"/>
        <v>122400000000</v>
      </c>
      <c r="E23">
        <f t="shared" si="1"/>
        <v>1.4115449151516199E-2</v>
      </c>
    </row>
    <row r="24" spans="1:5" x14ac:dyDescent="0.35">
      <c r="A24" t="s">
        <v>251</v>
      </c>
      <c r="B24" t="s">
        <v>749</v>
      </c>
      <c r="C24">
        <v>56.8</v>
      </c>
      <c r="D24" s="13">
        <f t="shared" si="0"/>
        <v>56800000000</v>
      </c>
      <c r="E24">
        <f t="shared" si="1"/>
        <v>6.55030646900425E-3</v>
      </c>
    </row>
    <row r="25" spans="1:5" x14ac:dyDescent="0.35">
      <c r="A25" t="s">
        <v>468</v>
      </c>
      <c r="B25" t="s">
        <v>955</v>
      </c>
      <c r="C25">
        <v>66.41</v>
      </c>
      <c r="D25" s="13">
        <f t="shared" si="0"/>
        <v>66410000000</v>
      </c>
      <c r="E25">
        <f t="shared" si="1"/>
        <v>7.6585537430734546E-3</v>
      </c>
    </row>
    <row r="26" spans="1:5" x14ac:dyDescent="0.35">
      <c r="A26" t="s">
        <v>316</v>
      </c>
      <c r="B26" t="s">
        <v>813</v>
      </c>
      <c r="C26">
        <v>10.81</v>
      </c>
      <c r="D26" s="13">
        <f t="shared" si="0"/>
        <v>10810000000</v>
      </c>
      <c r="E26">
        <f t="shared" si="1"/>
        <v>1.2466340304566187E-3</v>
      </c>
    </row>
    <row r="27" spans="1:5" x14ac:dyDescent="0.35">
      <c r="A27" t="s">
        <v>199</v>
      </c>
      <c r="B27" t="s">
        <v>701</v>
      </c>
      <c r="C27">
        <v>14.62</v>
      </c>
      <c r="D27" s="13">
        <f t="shared" si="0"/>
        <v>14620000000</v>
      </c>
      <c r="E27">
        <f t="shared" si="1"/>
        <v>1.6860119819866572E-3</v>
      </c>
    </row>
    <row r="28" spans="1:5" x14ac:dyDescent="0.35">
      <c r="A28" t="s">
        <v>243</v>
      </c>
      <c r="B28" t="s">
        <v>743</v>
      </c>
      <c r="C28">
        <v>41.06</v>
      </c>
      <c r="D28" s="13">
        <f t="shared" si="0"/>
        <v>41060000000</v>
      </c>
      <c r="E28">
        <f t="shared" si="1"/>
        <v>4.73513351438934E-3</v>
      </c>
    </row>
    <row r="29" spans="1:5" x14ac:dyDescent="0.35">
      <c r="A29" t="s">
        <v>194</v>
      </c>
      <c r="B29" t="s">
        <v>696</v>
      </c>
      <c r="C29">
        <v>25.07</v>
      </c>
      <c r="D29" s="13">
        <f t="shared" si="0"/>
        <v>25070000000</v>
      </c>
      <c r="E29">
        <f t="shared" si="1"/>
        <v>2.8911299855270516E-3</v>
      </c>
    </row>
    <row r="30" spans="1:5" x14ac:dyDescent="0.35">
      <c r="A30" t="s">
        <v>66</v>
      </c>
      <c r="B30" t="s">
        <v>573</v>
      </c>
      <c r="C30">
        <v>146.9</v>
      </c>
      <c r="D30" s="13">
        <f t="shared" si="0"/>
        <v>146900000000</v>
      </c>
      <c r="E30">
        <f t="shared" si="1"/>
        <v>1.694084542775923E-2</v>
      </c>
    </row>
    <row r="31" spans="1:5" x14ac:dyDescent="0.35">
      <c r="A31" t="s">
        <v>107</v>
      </c>
      <c r="B31" t="s">
        <v>611</v>
      </c>
      <c r="C31">
        <v>21.4</v>
      </c>
      <c r="D31" s="13">
        <f t="shared" si="0"/>
        <v>21400000000</v>
      </c>
      <c r="E31">
        <f t="shared" si="1"/>
        <v>2.4678971555755448E-3</v>
      </c>
    </row>
    <row r="32" spans="1:5" x14ac:dyDescent="0.35">
      <c r="A32" t="s">
        <v>238</v>
      </c>
      <c r="B32" t="s">
        <v>738</v>
      </c>
      <c r="C32">
        <v>323.95999999999998</v>
      </c>
      <c r="D32" s="13">
        <f t="shared" si="0"/>
        <v>323960000000</v>
      </c>
      <c r="E32">
        <f t="shared" si="1"/>
        <v>3.7359811332722127E-2</v>
      </c>
    </row>
    <row r="33" spans="1:5" x14ac:dyDescent="0.35">
      <c r="A33" t="s">
        <v>360</v>
      </c>
      <c r="B33" t="s">
        <v>856</v>
      </c>
      <c r="C33">
        <v>47.89</v>
      </c>
      <c r="D33" s="13">
        <f t="shared" si="0"/>
        <v>47890000000</v>
      </c>
      <c r="E33">
        <f t="shared" si="1"/>
        <v>5.522784802827703E-3</v>
      </c>
    </row>
    <row r="34" spans="1:5" x14ac:dyDescent="0.35">
      <c r="A34" t="s">
        <v>364</v>
      </c>
      <c r="B34" t="s">
        <v>860</v>
      </c>
      <c r="C34">
        <v>25.19</v>
      </c>
      <c r="D34" s="13">
        <f t="shared" si="0"/>
        <v>25190000000</v>
      </c>
      <c r="E34">
        <f t="shared" si="1"/>
        <v>2.9049686611657931E-3</v>
      </c>
    </row>
    <row r="35" spans="1:5" x14ac:dyDescent="0.35">
      <c r="A35" t="s">
        <v>341</v>
      </c>
      <c r="B35" t="s">
        <v>838</v>
      </c>
      <c r="C35">
        <v>52.94</v>
      </c>
      <c r="D35" s="13">
        <f t="shared" si="0"/>
        <v>52940000000</v>
      </c>
      <c r="E35">
        <f t="shared" si="1"/>
        <v>6.1051624026247356E-3</v>
      </c>
    </row>
    <row r="36" spans="1:5" x14ac:dyDescent="0.35">
      <c r="A36" t="s">
        <v>150</v>
      </c>
      <c r="B36" t="s">
        <v>654</v>
      </c>
      <c r="C36">
        <v>38.06</v>
      </c>
      <c r="D36" s="13">
        <f t="shared" si="0"/>
        <v>38060000000</v>
      </c>
      <c r="E36">
        <f t="shared" si="1"/>
        <v>4.3891666234208053E-3</v>
      </c>
    </row>
    <row r="37" spans="1:5" x14ac:dyDescent="0.35">
      <c r="A37" t="s">
        <v>282</v>
      </c>
      <c r="B37" t="s">
        <v>780</v>
      </c>
      <c r="C37">
        <v>26.47</v>
      </c>
      <c r="D37" s="13">
        <f t="shared" si="0"/>
        <v>26470000000</v>
      </c>
      <c r="E37">
        <f t="shared" si="1"/>
        <v>3.0525812013123678E-3</v>
      </c>
    </row>
    <row r="38" spans="1:5" x14ac:dyDescent="0.35">
      <c r="A38" t="s">
        <v>77</v>
      </c>
      <c r="B38" t="s">
        <v>582</v>
      </c>
      <c r="C38">
        <v>95.37</v>
      </c>
      <c r="D38" s="13">
        <f t="shared" si="0"/>
        <v>95370000000</v>
      </c>
      <c r="E38">
        <f t="shared" si="1"/>
        <v>1.0998287463889705E-2</v>
      </c>
    </row>
    <row r="39" spans="1:5" x14ac:dyDescent="0.35">
      <c r="A39" t="s">
        <v>339</v>
      </c>
      <c r="B39" t="s">
        <v>836</v>
      </c>
      <c r="C39">
        <v>45.08</v>
      </c>
      <c r="D39" s="13">
        <f t="shared" si="0"/>
        <v>45080000000</v>
      </c>
      <c r="E39">
        <f t="shared" si="1"/>
        <v>5.198729148287176E-3</v>
      </c>
    </row>
    <row r="40" spans="1:5" x14ac:dyDescent="0.35">
      <c r="A40" t="s">
        <v>168</v>
      </c>
      <c r="B40" t="s">
        <v>672</v>
      </c>
      <c r="C40">
        <v>37.54</v>
      </c>
      <c r="D40" s="13">
        <f t="shared" si="0"/>
        <v>37540000000</v>
      </c>
      <c r="E40">
        <f t="shared" si="1"/>
        <v>4.3291990289862593E-3</v>
      </c>
    </row>
    <row r="41" spans="1:5" x14ac:dyDescent="0.35">
      <c r="A41" t="s">
        <v>98</v>
      </c>
      <c r="B41" t="s">
        <v>602</v>
      </c>
      <c r="C41">
        <v>114.1</v>
      </c>
      <c r="D41" s="13">
        <f t="shared" si="0"/>
        <v>114100000000</v>
      </c>
      <c r="E41">
        <f t="shared" si="1"/>
        <v>1.3158274086503255E-2</v>
      </c>
    </row>
    <row r="42" spans="1:5" x14ac:dyDescent="0.35">
      <c r="A42" t="s">
        <v>161</v>
      </c>
      <c r="B42" t="s">
        <v>665</v>
      </c>
      <c r="C42">
        <v>43.48</v>
      </c>
      <c r="D42" s="13">
        <f t="shared" si="0"/>
        <v>43480000000</v>
      </c>
      <c r="E42">
        <f t="shared" si="1"/>
        <v>5.0142134731039571E-3</v>
      </c>
    </row>
    <row r="43" spans="1:5" x14ac:dyDescent="0.35">
      <c r="A43" t="s">
        <v>178</v>
      </c>
      <c r="B43" t="s">
        <v>682</v>
      </c>
      <c r="C43">
        <v>185.76</v>
      </c>
      <c r="D43" s="13">
        <f t="shared" si="0"/>
        <v>185760000000</v>
      </c>
      <c r="E43">
        <f t="shared" si="1"/>
        <v>2.1422269888771644E-2</v>
      </c>
    </row>
    <row r="44" spans="1:5" x14ac:dyDescent="0.35">
      <c r="A44" t="s">
        <v>222</v>
      </c>
      <c r="B44" t="s">
        <v>723</v>
      </c>
      <c r="C44">
        <v>93.13</v>
      </c>
      <c r="D44" s="13">
        <f t="shared" si="0"/>
        <v>93130000000</v>
      </c>
      <c r="E44">
        <f t="shared" si="1"/>
        <v>1.07399655186332E-2</v>
      </c>
    </row>
    <row r="45" spans="1:5" x14ac:dyDescent="0.35">
      <c r="A45" t="s">
        <v>283</v>
      </c>
      <c r="B45" t="s">
        <v>781</v>
      </c>
      <c r="C45">
        <v>5.95</v>
      </c>
      <c r="D45" s="13">
        <f t="shared" si="0"/>
        <v>5950000000</v>
      </c>
      <c r="E45">
        <f t="shared" si="1"/>
        <v>6.8616766708759307E-4</v>
      </c>
    </row>
    <row r="46" spans="1:5" x14ac:dyDescent="0.35">
      <c r="A46" t="s">
        <v>176</v>
      </c>
      <c r="B46" t="s">
        <v>680</v>
      </c>
      <c r="C46">
        <v>30.53</v>
      </c>
      <c r="D46" s="13">
        <f t="shared" si="0"/>
        <v>30530000000</v>
      </c>
      <c r="E46">
        <f t="shared" si="1"/>
        <v>3.5207897270897841E-3</v>
      </c>
    </row>
    <row r="47" spans="1:5" x14ac:dyDescent="0.35">
      <c r="A47" t="s">
        <v>79</v>
      </c>
      <c r="B47" t="s">
        <v>584</v>
      </c>
      <c r="C47">
        <v>65.62</v>
      </c>
      <c r="D47" s="13">
        <f t="shared" si="0"/>
        <v>65620000000.000008</v>
      </c>
      <c r="E47">
        <f t="shared" si="1"/>
        <v>7.567449128451741E-3</v>
      </c>
    </row>
    <row r="48" spans="1:5" x14ac:dyDescent="0.35">
      <c r="A48" t="s">
        <v>362</v>
      </c>
      <c r="B48" t="s">
        <v>858</v>
      </c>
      <c r="C48">
        <v>106.69</v>
      </c>
      <c r="D48" s="13">
        <f t="shared" si="0"/>
        <v>106690000000</v>
      </c>
      <c r="E48">
        <f t="shared" si="1"/>
        <v>1.2303735865810975E-2</v>
      </c>
    </row>
    <row r="49" spans="1:5" x14ac:dyDescent="0.35">
      <c r="A49" t="s">
        <v>292</v>
      </c>
      <c r="B49" t="s">
        <v>789</v>
      </c>
      <c r="C49">
        <v>15.54</v>
      </c>
      <c r="D49" s="13">
        <f t="shared" si="0"/>
        <v>15540000000</v>
      </c>
      <c r="E49">
        <f t="shared" si="1"/>
        <v>1.7921084952170077E-3</v>
      </c>
    </row>
    <row r="50" spans="1:5" x14ac:dyDescent="0.35">
      <c r="A50" t="s">
        <v>322</v>
      </c>
      <c r="B50" t="s">
        <v>819</v>
      </c>
      <c r="C50">
        <v>4.0599999999999996</v>
      </c>
      <c r="D50" s="13">
        <f t="shared" si="0"/>
        <v>4059999999.9999995</v>
      </c>
      <c r="E50">
        <f t="shared" si="1"/>
        <v>4.6820852577741636E-4</v>
      </c>
    </row>
    <row r="51" spans="1:5" x14ac:dyDescent="0.35">
      <c r="A51" t="s">
        <v>473</v>
      </c>
      <c r="B51" t="s">
        <v>959</v>
      </c>
      <c r="C51">
        <v>74.47</v>
      </c>
      <c r="D51" s="13">
        <f t="shared" si="0"/>
        <v>74470000000</v>
      </c>
      <c r="E51">
        <f t="shared" si="1"/>
        <v>8.5880514568089164E-3</v>
      </c>
    </row>
    <row r="52" spans="1:5" x14ac:dyDescent="0.35">
      <c r="A52" t="s">
        <v>411</v>
      </c>
      <c r="B52" t="s">
        <v>906</v>
      </c>
      <c r="C52">
        <v>12.45</v>
      </c>
      <c r="D52" s="13">
        <f t="shared" si="0"/>
        <v>12450000000</v>
      </c>
      <c r="E52">
        <f t="shared" si="1"/>
        <v>1.4357625975194173E-3</v>
      </c>
    </row>
    <row r="53" spans="1:5" x14ac:dyDescent="0.35">
      <c r="A53" t="s">
        <v>62</v>
      </c>
      <c r="B53" t="s">
        <v>2</v>
      </c>
      <c r="C53">
        <v>40.31</v>
      </c>
      <c r="D53" s="13">
        <f t="shared" si="0"/>
        <v>40310000000</v>
      </c>
      <c r="E53">
        <f t="shared" si="1"/>
        <v>4.6486417916472064E-3</v>
      </c>
    </row>
    <row r="54" spans="1:5" x14ac:dyDescent="0.35">
      <c r="A54" t="s">
        <v>76</v>
      </c>
      <c r="B54" t="s">
        <v>581</v>
      </c>
      <c r="C54">
        <v>66.14</v>
      </c>
      <c r="D54" s="13">
        <f t="shared" si="0"/>
        <v>66140000000</v>
      </c>
      <c r="E54">
        <f t="shared" si="1"/>
        <v>7.6274167228862861E-3</v>
      </c>
    </row>
    <row r="55" spans="1:5" x14ac:dyDescent="0.35">
      <c r="A55" t="s">
        <v>61</v>
      </c>
      <c r="B55" t="s">
        <v>569</v>
      </c>
      <c r="C55">
        <v>39.57</v>
      </c>
      <c r="D55" s="13">
        <f t="shared" si="0"/>
        <v>39570000000</v>
      </c>
      <c r="E55">
        <f t="shared" si="1"/>
        <v>4.5633032918749672E-3</v>
      </c>
    </row>
    <row r="56" spans="1:5" x14ac:dyDescent="0.35">
      <c r="A56" t="s">
        <v>163</v>
      </c>
      <c r="B56" t="s">
        <v>667</v>
      </c>
      <c r="C56">
        <v>169.38</v>
      </c>
      <c r="D56" s="13">
        <f t="shared" si="0"/>
        <v>169380000000</v>
      </c>
      <c r="E56">
        <f t="shared" si="1"/>
        <v>1.9533290664083446E-2</v>
      </c>
    </row>
    <row r="57" spans="1:5" x14ac:dyDescent="0.35">
      <c r="A57" t="s">
        <v>60</v>
      </c>
      <c r="B57" t="s">
        <v>568</v>
      </c>
      <c r="C57">
        <v>20.67</v>
      </c>
      <c r="D57" s="13">
        <f t="shared" si="0"/>
        <v>20670000000</v>
      </c>
      <c r="E57">
        <f t="shared" si="1"/>
        <v>2.3837118787732015E-3</v>
      </c>
    </row>
    <row r="58" spans="1:5" x14ac:dyDescent="0.35">
      <c r="A58" t="s">
        <v>59</v>
      </c>
      <c r="B58" t="s">
        <v>567</v>
      </c>
      <c r="C58">
        <v>49.12</v>
      </c>
      <c r="D58" s="13">
        <f t="shared" si="0"/>
        <v>49120000000</v>
      </c>
      <c r="E58">
        <f t="shared" si="1"/>
        <v>5.6646312281248019E-3</v>
      </c>
    </row>
    <row r="59" spans="1:5" x14ac:dyDescent="0.35">
      <c r="A59" t="s">
        <v>211</v>
      </c>
      <c r="B59" t="s">
        <v>713</v>
      </c>
      <c r="C59">
        <v>14.39</v>
      </c>
      <c r="D59" s="13">
        <f t="shared" si="0"/>
        <v>14390000000</v>
      </c>
      <c r="E59">
        <f t="shared" si="1"/>
        <v>1.6594878536790696E-3</v>
      </c>
    </row>
    <row r="60" spans="1:5" x14ac:dyDescent="0.35">
      <c r="A60" t="s">
        <v>430</v>
      </c>
      <c r="B60" t="s">
        <v>923</v>
      </c>
      <c r="C60">
        <v>42.65</v>
      </c>
      <c r="D60" s="13">
        <f t="shared" si="0"/>
        <v>42650000000</v>
      </c>
      <c r="E60">
        <f t="shared" si="1"/>
        <v>4.9184959666026627E-3</v>
      </c>
    </row>
    <row r="61" spans="1:5" x14ac:dyDescent="0.35">
      <c r="A61" t="s">
        <v>423</v>
      </c>
      <c r="B61" t="s">
        <v>918</v>
      </c>
      <c r="C61">
        <v>23.34</v>
      </c>
      <c r="D61" s="13">
        <f t="shared" si="0"/>
        <v>23340000000</v>
      </c>
      <c r="E61">
        <f t="shared" si="1"/>
        <v>2.691622411735197E-3</v>
      </c>
    </row>
    <row r="62" spans="1:5" x14ac:dyDescent="0.35">
      <c r="A62" t="s">
        <v>58</v>
      </c>
      <c r="B62" t="s">
        <v>566</v>
      </c>
      <c r="C62">
        <v>48.04</v>
      </c>
      <c r="D62" s="13">
        <f t="shared" si="0"/>
        <v>48040000000</v>
      </c>
      <c r="E62">
        <f t="shared" si="1"/>
        <v>5.5400831473761299E-3</v>
      </c>
    </row>
    <row r="63" spans="1:5" x14ac:dyDescent="0.35">
      <c r="A63" t="s">
        <v>338</v>
      </c>
      <c r="B63" t="s">
        <v>835</v>
      </c>
      <c r="C63">
        <v>107.13</v>
      </c>
      <c r="D63" s="13">
        <f t="shared" si="0"/>
        <v>107130000000</v>
      </c>
      <c r="E63">
        <f t="shared" si="1"/>
        <v>1.2354477676486361E-2</v>
      </c>
    </row>
    <row r="64" spans="1:5" x14ac:dyDescent="0.35">
      <c r="A64" t="s">
        <v>442</v>
      </c>
      <c r="B64" t="s">
        <v>935</v>
      </c>
      <c r="C64">
        <v>44.73</v>
      </c>
      <c r="D64" s="13">
        <f t="shared" si="0"/>
        <v>44730000000</v>
      </c>
      <c r="E64">
        <f t="shared" si="1"/>
        <v>5.1583663443408468E-3</v>
      </c>
    </row>
    <row r="65" spans="1:5" x14ac:dyDescent="0.35">
      <c r="A65" t="s">
        <v>213</v>
      </c>
      <c r="B65" t="s">
        <v>715</v>
      </c>
      <c r="C65">
        <v>57.5</v>
      </c>
      <c r="D65" s="13">
        <f t="shared" si="0"/>
        <v>57500000000</v>
      </c>
      <c r="E65">
        <f t="shared" si="1"/>
        <v>6.6310320768969075E-3</v>
      </c>
    </row>
    <row r="66" spans="1:5" x14ac:dyDescent="0.35">
      <c r="A66" t="s">
        <v>56</v>
      </c>
      <c r="B66" t="s">
        <v>564</v>
      </c>
      <c r="C66">
        <v>7.16</v>
      </c>
      <c r="D66" s="13">
        <f t="shared" si="0"/>
        <v>7160000000</v>
      </c>
      <c r="E66">
        <f t="shared" si="1"/>
        <v>8.2570764644490191E-4</v>
      </c>
    </row>
    <row r="67" spans="1:5" x14ac:dyDescent="0.35">
      <c r="A67" t="s">
        <v>224</v>
      </c>
      <c r="B67" t="s">
        <v>725</v>
      </c>
      <c r="C67">
        <v>12.19</v>
      </c>
      <c r="D67" s="13">
        <f t="shared" ref="D67:D130" si="2">C67*1000000000</f>
        <v>12190000000</v>
      </c>
      <c r="E67">
        <f t="shared" ref="E67:E130" si="3">D67/$D$277</f>
        <v>1.4057788003021443E-3</v>
      </c>
    </row>
    <row r="68" spans="1:5" x14ac:dyDescent="0.35">
      <c r="A68" t="s">
        <v>506</v>
      </c>
      <c r="B68" t="s">
        <v>990</v>
      </c>
      <c r="C68">
        <v>18.23</v>
      </c>
      <c r="D68" s="13">
        <f t="shared" si="2"/>
        <v>18230000000</v>
      </c>
      <c r="E68">
        <f t="shared" si="3"/>
        <v>2.1023254741187936E-3</v>
      </c>
    </row>
    <row r="69" spans="1:5" x14ac:dyDescent="0.35">
      <c r="A69" t="s">
        <v>151</v>
      </c>
      <c r="B69" t="s">
        <v>655</v>
      </c>
      <c r="C69">
        <v>29.37</v>
      </c>
      <c r="D69" s="13">
        <f t="shared" si="2"/>
        <v>29370000000</v>
      </c>
      <c r="E69">
        <f t="shared" si="3"/>
        <v>3.3870158625819509E-3</v>
      </c>
    </row>
    <row r="70" spans="1:5" x14ac:dyDescent="0.35">
      <c r="A70" t="s">
        <v>300</v>
      </c>
      <c r="B70" t="s">
        <v>797</v>
      </c>
      <c r="C70">
        <v>5.16</v>
      </c>
      <c r="D70" s="13">
        <f t="shared" si="2"/>
        <v>5160000000</v>
      </c>
      <c r="E70">
        <f t="shared" si="3"/>
        <v>5.9506305246587903E-4</v>
      </c>
    </row>
    <row r="71" spans="1:5" x14ac:dyDescent="0.35">
      <c r="A71" t="s">
        <v>55</v>
      </c>
      <c r="B71" t="s">
        <v>563</v>
      </c>
      <c r="C71">
        <v>8.02</v>
      </c>
      <c r="D71" s="13">
        <f t="shared" si="2"/>
        <v>8020000000</v>
      </c>
      <c r="E71">
        <f t="shared" si="3"/>
        <v>9.2488482185588169E-4</v>
      </c>
    </row>
    <row r="72" spans="1:5" x14ac:dyDescent="0.35">
      <c r="A72" t="s">
        <v>96</v>
      </c>
      <c r="B72" t="s">
        <v>600</v>
      </c>
      <c r="C72">
        <v>23.66</v>
      </c>
      <c r="D72" s="13">
        <f t="shared" si="2"/>
        <v>23660000000</v>
      </c>
      <c r="E72">
        <f t="shared" si="3"/>
        <v>2.7285255467718408E-3</v>
      </c>
    </row>
    <row r="73" spans="1:5" x14ac:dyDescent="0.35">
      <c r="A73" t="s">
        <v>328</v>
      </c>
      <c r="B73" t="s">
        <v>825</v>
      </c>
      <c r="C73">
        <v>69.58</v>
      </c>
      <c r="D73" s="13">
        <f t="shared" si="2"/>
        <v>69580000000</v>
      </c>
      <c r="E73">
        <f t="shared" si="3"/>
        <v>8.0241254245302061E-3</v>
      </c>
    </row>
    <row r="74" spans="1:5" x14ac:dyDescent="0.35">
      <c r="A74" t="s">
        <v>303</v>
      </c>
      <c r="B74" t="s">
        <v>800</v>
      </c>
      <c r="C74">
        <v>24.12</v>
      </c>
      <c r="D74" s="13">
        <f t="shared" si="2"/>
        <v>24120000000</v>
      </c>
      <c r="E74">
        <f t="shared" si="3"/>
        <v>2.7815738033870161E-3</v>
      </c>
    </row>
    <row r="75" spans="1:5" x14ac:dyDescent="0.35">
      <c r="A75" t="s">
        <v>431</v>
      </c>
      <c r="B75" t="s">
        <v>924</v>
      </c>
      <c r="C75">
        <v>27.89</v>
      </c>
      <c r="D75" s="13">
        <f t="shared" si="2"/>
        <v>27890000000</v>
      </c>
      <c r="E75">
        <f t="shared" si="3"/>
        <v>3.216338863037474E-3</v>
      </c>
    </row>
    <row r="76" spans="1:5" x14ac:dyDescent="0.35">
      <c r="A76" t="s">
        <v>54</v>
      </c>
      <c r="B76" t="s">
        <v>562</v>
      </c>
      <c r="C76">
        <v>26.97</v>
      </c>
      <c r="D76" s="13">
        <f t="shared" si="2"/>
        <v>26970000000</v>
      </c>
      <c r="E76">
        <f t="shared" si="3"/>
        <v>3.1102423498071234E-3</v>
      </c>
    </row>
    <row r="77" spans="1:5" x14ac:dyDescent="0.35">
      <c r="A77" t="s">
        <v>218</v>
      </c>
      <c r="B77" t="s">
        <v>719</v>
      </c>
      <c r="C77">
        <v>33.86</v>
      </c>
      <c r="D77" s="13">
        <f t="shared" si="2"/>
        <v>33860000000</v>
      </c>
      <c r="E77">
        <f t="shared" si="3"/>
        <v>3.9048129760648571E-3</v>
      </c>
    </row>
    <row r="78" spans="1:5" x14ac:dyDescent="0.35">
      <c r="A78" t="s">
        <v>419</v>
      </c>
      <c r="B78" t="s">
        <v>914</v>
      </c>
      <c r="C78">
        <v>26.22</v>
      </c>
      <c r="D78" s="13">
        <f t="shared" si="2"/>
        <v>26220000000</v>
      </c>
      <c r="E78">
        <f t="shared" si="3"/>
        <v>3.0237506270649897E-3</v>
      </c>
    </row>
    <row r="79" spans="1:5" x14ac:dyDescent="0.35">
      <c r="A79" t="s">
        <v>459</v>
      </c>
      <c r="B79" t="s">
        <v>947</v>
      </c>
      <c r="C79">
        <v>33.4</v>
      </c>
      <c r="D79" s="13">
        <f t="shared" si="2"/>
        <v>33400000000</v>
      </c>
      <c r="E79">
        <f t="shared" si="3"/>
        <v>3.8517647194496818E-3</v>
      </c>
    </row>
    <row r="80" spans="1:5" x14ac:dyDescent="0.35">
      <c r="A80" t="s">
        <v>461</v>
      </c>
      <c r="B80" t="s">
        <v>949</v>
      </c>
      <c r="C80">
        <v>29.5</v>
      </c>
      <c r="D80" s="13">
        <f t="shared" si="2"/>
        <v>29500000000</v>
      </c>
      <c r="E80">
        <f t="shared" si="3"/>
        <v>3.4020077611905874E-3</v>
      </c>
    </row>
    <row r="81" spans="1:5" x14ac:dyDescent="0.35">
      <c r="A81" t="s">
        <v>267</v>
      </c>
      <c r="B81" t="s">
        <v>765</v>
      </c>
      <c r="C81">
        <v>17.46</v>
      </c>
      <c r="D81" s="13">
        <f t="shared" si="2"/>
        <v>17460000000</v>
      </c>
      <c r="E81">
        <f t="shared" si="3"/>
        <v>2.0135273054368696E-3</v>
      </c>
    </row>
    <row r="82" spans="1:5" x14ac:dyDescent="0.35">
      <c r="A82" t="s">
        <v>352</v>
      </c>
      <c r="B82" t="s">
        <v>849</v>
      </c>
      <c r="C82">
        <v>11.93</v>
      </c>
      <c r="D82" s="13">
        <f t="shared" si="2"/>
        <v>11930000000</v>
      </c>
      <c r="E82">
        <f t="shared" si="3"/>
        <v>1.3757950030848715E-3</v>
      </c>
    </row>
    <row r="83" spans="1:5" x14ac:dyDescent="0.35">
      <c r="A83" t="s">
        <v>143</v>
      </c>
      <c r="B83" t="s">
        <v>647</v>
      </c>
      <c r="C83">
        <v>24.83</v>
      </c>
      <c r="D83" s="13">
        <f t="shared" si="2"/>
        <v>24830000000</v>
      </c>
      <c r="E83">
        <f t="shared" si="3"/>
        <v>2.8634526342495689E-3</v>
      </c>
    </row>
    <row r="84" spans="1:5" x14ac:dyDescent="0.35">
      <c r="A84" t="s">
        <v>451</v>
      </c>
      <c r="B84" t="s">
        <v>942</v>
      </c>
      <c r="C84">
        <v>11.5</v>
      </c>
      <c r="D84" s="13">
        <f t="shared" si="2"/>
        <v>11500000000</v>
      </c>
      <c r="E84">
        <f t="shared" si="3"/>
        <v>1.3262064153793816E-3</v>
      </c>
    </row>
    <row r="85" spans="1:5" x14ac:dyDescent="0.35">
      <c r="A85" t="s">
        <v>166</v>
      </c>
      <c r="B85" t="s">
        <v>670</v>
      </c>
      <c r="C85">
        <v>37.93</v>
      </c>
      <c r="D85" s="13">
        <f t="shared" si="2"/>
        <v>37930000000</v>
      </c>
      <c r="E85">
        <f t="shared" si="3"/>
        <v>4.3741747248121684E-3</v>
      </c>
    </row>
    <row r="86" spans="1:5" x14ac:dyDescent="0.35">
      <c r="A86" t="s">
        <v>155</v>
      </c>
      <c r="B86" t="s">
        <v>659</v>
      </c>
      <c r="C86">
        <v>5.33</v>
      </c>
      <c r="D86" s="13">
        <f t="shared" si="2"/>
        <v>5330000000</v>
      </c>
      <c r="E86">
        <f t="shared" si="3"/>
        <v>6.1466784295409601E-4</v>
      </c>
    </row>
    <row r="87" spans="1:5" x14ac:dyDescent="0.35">
      <c r="A87" t="s">
        <v>220</v>
      </c>
      <c r="B87" t="s">
        <v>721</v>
      </c>
      <c r="C87">
        <v>17.010000000000002</v>
      </c>
      <c r="D87" s="13">
        <f t="shared" si="2"/>
        <v>17010000000.000002</v>
      </c>
      <c r="E87">
        <f t="shared" si="3"/>
        <v>1.9616322717915897E-3</v>
      </c>
    </row>
    <row r="88" spans="1:5" x14ac:dyDescent="0.35">
      <c r="A88" t="s">
        <v>438</v>
      </c>
      <c r="B88" t="s">
        <v>931</v>
      </c>
      <c r="C88">
        <v>25.36</v>
      </c>
      <c r="D88" s="13">
        <f t="shared" si="2"/>
        <v>25360000000</v>
      </c>
      <c r="E88">
        <f t="shared" si="3"/>
        <v>2.92457345165401E-3</v>
      </c>
    </row>
    <row r="89" spans="1:5" x14ac:dyDescent="0.35">
      <c r="A89" t="s">
        <v>499</v>
      </c>
      <c r="B89" t="s">
        <v>983</v>
      </c>
      <c r="C89">
        <v>15.3</v>
      </c>
      <c r="D89" s="13">
        <f t="shared" si="2"/>
        <v>15300000000</v>
      </c>
      <c r="E89">
        <f t="shared" si="3"/>
        <v>1.7644311439395249E-3</v>
      </c>
    </row>
    <row r="90" spans="1:5" x14ac:dyDescent="0.35">
      <c r="A90" t="s">
        <v>464</v>
      </c>
      <c r="B90" t="s">
        <v>952</v>
      </c>
      <c r="C90">
        <v>19.420000000000002</v>
      </c>
      <c r="D90" s="13">
        <f t="shared" si="2"/>
        <v>19420000000</v>
      </c>
      <c r="E90">
        <f t="shared" si="3"/>
        <v>2.2395590075363122E-3</v>
      </c>
    </row>
    <row r="91" spans="1:5" x14ac:dyDescent="0.35">
      <c r="A91" t="s">
        <v>52</v>
      </c>
      <c r="B91" t="s">
        <v>560</v>
      </c>
      <c r="C91">
        <v>42.06</v>
      </c>
      <c r="D91" s="13">
        <f t="shared" si="2"/>
        <v>42060000000</v>
      </c>
      <c r="E91">
        <f t="shared" si="3"/>
        <v>4.8504558113788513E-3</v>
      </c>
    </row>
    <row r="92" spans="1:5" x14ac:dyDescent="0.35">
      <c r="A92" t="s">
        <v>51</v>
      </c>
      <c r="B92" t="s">
        <v>559</v>
      </c>
      <c r="C92">
        <v>8.7899999999999991</v>
      </c>
      <c r="D92" s="13">
        <f t="shared" si="2"/>
        <v>8790000000</v>
      </c>
      <c r="E92">
        <f t="shared" si="3"/>
        <v>1.0136829905378055E-3</v>
      </c>
    </row>
    <row r="93" spans="1:5" x14ac:dyDescent="0.35">
      <c r="A93" t="s">
        <v>245</v>
      </c>
      <c r="B93" t="s">
        <v>745</v>
      </c>
      <c r="C93">
        <v>13.44</v>
      </c>
      <c r="D93" s="13">
        <f t="shared" si="2"/>
        <v>13440000000</v>
      </c>
      <c r="E93">
        <f t="shared" si="3"/>
        <v>1.5499316715390336E-3</v>
      </c>
    </row>
    <row r="94" spans="1:5" x14ac:dyDescent="0.35">
      <c r="A94" t="s">
        <v>396</v>
      </c>
      <c r="B94" t="s">
        <v>892</v>
      </c>
      <c r="C94">
        <v>13.11</v>
      </c>
      <c r="D94" s="13">
        <f t="shared" si="2"/>
        <v>13110000000</v>
      </c>
      <c r="E94">
        <f t="shared" si="3"/>
        <v>1.5118753135324949E-3</v>
      </c>
    </row>
    <row r="95" spans="1:5" x14ac:dyDescent="0.35">
      <c r="A95" t="s">
        <v>114</v>
      </c>
      <c r="B95" t="s">
        <v>618</v>
      </c>
      <c r="C95">
        <v>24.88</v>
      </c>
      <c r="D95" s="13">
        <f t="shared" si="2"/>
        <v>24880000000</v>
      </c>
      <c r="E95">
        <f t="shared" si="3"/>
        <v>2.8692187490990447E-3</v>
      </c>
    </row>
    <row r="96" spans="1:5" x14ac:dyDescent="0.35">
      <c r="A96" t="s">
        <v>130</v>
      </c>
      <c r="B96" t="s">
        <v>634</v>
      </c>
      <c r="C96">
        <v>10.27</v>
      </c>
      <c r="D96" s="13">
        <f t="shared" si="2"/>
        <v>10270000000</v>
      </c>
      <c r="E96">
        <f t="shared" si="3"/>
        <v>1.1843599900822825E-3</v>
      </c>
    </row>
    <row r="97" spans="1:5" x14ac:dyDescent="0.35">
      <c r="A97" t="s">
        <v>75</v>
      </c>
      <c r="B97" t="s">
        <v>580</v>
      </c>
      <c r="C97">
        <v>91.79</v>
      </c>
      <c r="D97" s="13">
        <f t="shared" si="2"/>
        <v>91790000000</v>
      </c>
      <c r="E97">
        <f t="shared" si="3"/>
        <v>1.0585433640667255E-2</v>
      </c>
    </row>
    <row r="98" spans="1:5" x14ac:dyDescent="0.35">
      <c r="A98" t="s">
        <v>177</v>
      </c>
      <c r="B98" t="s">
        <v>681</v>
      </c>
      <c r="C98">
        <v>10</v>
      </c>
      <c r="D98" s="13">
        <f t="shared" si="2"/>
        <v>10000000000</v>
      </c>
      <c r="E98">
        <f t="shared" si="3"/>
        <v>1.1532229698951143E-3</v>
      </c>
    </row>
    <row r="99" spans="1:5" x14ac:dyDescent="0.35">
      <c r="A99" t="s">
        <v>223</v>
      </c>
      <c r="B99" t="s">
        <v>724</v>
      </c>
      <c r="C99">
        <v>30.76</v>
      </c>
      <c r="D99" s="13">
        <f t="shared" si="2"/>
        <v>30760000000</v>
      </c>
      <c r="E99">
        <f t="shared" si="3"/>
        <v>3.5473138553973717E-3</v>
      </c>
    </row>
    <row r="100" spans="1:5" x14ac:dyDescent="0.35">
      <c r="A100" t="s">
        <v>395</v>
      </c>
      <c r="B100" t="s">
        <v>891</v>
      </c>
      <c r="C100">
        <v>23</v>
      </c>
      <c r="D100" s="13">
        <f t="shared" si="2"/>
        <v>23000000000</v>
      </c>
      <c r="E100">
        <f t="shared" si="3"/>
        <v>2.6524128307587633E-3</v>
      </c>
    </row>
    <row r="101" spans="1:5" x14ac:dyDescent="0.35">
      <c r="A101" t="s">
        <v>49</v>
      </c>
      <c r="B101" t="s">
        <v>557</v>
      </c>
      <c r="C101">
        <v>12.81</v>
      </c>
      <c r="D101" s="13">
        <f t="shared" si="2"/>
        <v>12810000000</v>
      </c>
      <c r="E101">
        <f t="shared" si="3"/>
        <v>1.4772786244356415E-3</v>
      </c>
    </row>
    <row r="102" spans="1:5" x14ac:dyDescent="0.35">
      <c r="A102" t="s">
        <v>332</v>
      </c>
      <c r="B102" t="s">
        <v>829</v>
      </c>
      <c r="C102">
        <v>27.53</v>
      </c>
      <c r="D102" s="13">
        <f t="shared" si="2"/>
        <v>27530000000</v>
      </c>
      <c r="E102">
        <f t="shared" si="3"/>
        <v>3.1748228361212498E-3</v>
      </c>
    </row>
    <row r="103" spans="1:5" x14ac:dyDescent="0.35">
      <c r="A103" t="s">
        <v>345</v>
      </c>
      <c r="B103" t="s">
        <v>842</v>
      </c>
      <c r="C103">
        <v>14.66</v>
      </c>
      <c r="D103" s="13">
        <f t="shared" si="2"/>
        <v>14660000000</v>
      </c>
      <c r="E103">
        <f t="shared" si="3"/>
        <v>1.6906248738662376E-3</v>
      </c>
    </row>
    <row r="104" spans="1:5" x14ac:dyDescent="0.35">
      <c r="A104" t="s">
        <v>315</v>
      </c>
      <c r="B104" t="s">
        <v>812</v>
      </c>
      <c r="C104">
        <v>40.770000000000003</v>
      </c>
      <c r="D104" s="13">
        <f t="shared" si="2"/>
        <v>40770000000</v>
      </c>
      <c r="E104">
        <f t="shared" si="3"/>
        <v>4.7016900482623816E-3</v>
      </c>
    </row>
    <row r="105" spans="1:5" x14ac:dyDescent="0.35">
      <c r="A105" t="s">
        <v>291</v>
      </c>
      <c r="B105" t="s">
        <v>788</v>
      </c>
      <c r="C105">
        <v>30.49</v>
      </c>
      <c r="D105" s="13">
        <f t="shared" si="2"/>
        <v>30490000000</v>
      </c>
      <c r="E105">
        <f t="shared" si="3"/>
        <v>3.5161768352102037E-3</v>
      </c>
    </row>
    <row r="106" spans="1:5" x14ac:dyDescent="0.35">
      <c r="A106" t="s">
        <v>391</v>
      </c>
      <c r="B106" t="s">
        <v>887</v>
      </c>
      <c r="C106">
        <v>43.31</v>
      </c>
      <c r="D106" s="13">
        <f t="shared" si="2"/>
        <v>43310000000</v>
      </c>
      <c r="E106">
        <f t="shared" si="3"/>
        <v>4.9946086826157402E-3</v>
      </c>
    </row>
    <row r="107" spans="1:5" x14ac:dyDescent="0.35">
      <c r="A107" t="s">
        <v>120</v>
      </c>
      <c r="B107" t="s">
        <v>624</v>
      </c>
      <c r="C107">
        <v>21.82</v>
      </c>
      <c r="D107" s="13">
        <f t="shared" si="2"/>
        <v>21820000000</v>
      </c>
      <c r="E107">
        <f t="shared" si="3"/>
        <v>2.5163325203111397E-3</v>
      </c>
    </row>
    <row r="108" spans="1:5" x14ac:dyDescent="0.35">
      <c r="A108" t="s">
        <v>296</v>
      </c>
      <c r="B108" t="s">
        <v>793</v>
      </c>
      <c r="C108">
        <v>13.98</v>
      </c>
      <c r="D108" s="13">
        <f t="shared" si="2"/>
        <v>13980000000</v>
      </c>
      <c r="E108">
        <f t="shared" si="3"/>
        <v>1.6122057119133699E-3</v>
      </c>
    </row>
    <row r="109" spans="1:5" x14ac:dyDescent="0.35">
      <c r="A109" t="s">
        <v>159</v>
      </c>
      <c r="B109" t="s">
        <v>663</v>
      </c>
      <c r="C109">
        <v>20.58</v>
      </c>
      <c r="D109" s="13">
        <f t="shared" si="2"/>
        <v>20580000000</v>
      </c>
      <c r="E109">
        <f t="shared" si="3"/>
        <v>2.3733328720441454E-3</v>
      </c>
    </row>
    <row r="110" spans="1:5" x14ac:dyDescent="0.35">
      <c r="A110" t="s">
        <v>134</v>
      </c>
      <c r="B110" t="s">
        <v>638</v>
      </c>
      <c r="C110">
        <v>32.64</v>
      </c>
      <c r="D110" s="13">
        <f t="shared" si="2"/>
        <v>32640000000</v>
      </c>
      <c r="E110">
        <f t="shared" si="3"/>
        <v>3.7641197737376532E-3</v>
      </c>
    </row>
    <row r="111" spans="1:5" x14ac:dyDescent="0.35">
      <c r="A111" t="s">
        <v>482</v>
      </c>
      <c r="B111" t="s">
        <v>968</v>
      </c>
      <c r="C111">
        <v>26.53</v>
      </c>
      <c r="D111" s="13">
        <f t="shared" si="2"/>
        <v>26530000000</v>
      </c>
      <c r="E111">
        <f t="shared" si="3"/>
        <v>3.0595005391317385E-3</v>
      </c>
    </row>
    <row r="112" spans="1:5" x14ac:dyDescent="0.35">
      <c r="A112" t="s">
        <v>133</v>
      </c>
      <c r="B112" t="s">
        <v>637</v>
      </c>
      <c r="C112">
        <v>20.89</v>
      </c>
      <c r="D112" s="13">
        <f t="shared" si="2"/>
        <v>20890000000</v>
      </c>
      <c r="E112">
        <f t="shared" si="3"/>
        <v>2.4090827841108937E-3</v>
      </c>
    </row>
    <row r="113" spans="1:5" x14ac:dyDescent="0.35">
      <c r="A113" t="s">
        <v>486</v>
      </c>
      <c r="B113" t="s">
        <v>970</v>
      </c>
      <c r="C113">
        <v>12.65</v>
      </c>
      <c r="D113" s="13">
        <f t="shared" si="2"/>
        <v>12650000000</v>
      </c>
      <c r="E113">
        <f t="shared" si="3"/>
        <v>1.4588270569173196E-3</v>
      </c>
    </row>
    <row r="114" spans="1:5" x14ac:dyDescent="0.35">
      <c r="A114" t="s">
        <v>320</v>
      </c>
      <c r="B114" t="s">
        <v>817</v>
      </c>
      <c r="C114">
        <v>27.73</v>
      </c>
      <c r="D114" s="13">
        <f t="shared" si="2"/>
        <v>27730000000</v>
      </c>
      <c r="E114">
        <f t="shared" si="3"/>
        <v>3.1978872955191521E-3</v>
      </c>
    </row>
    <row r="115" spans="1:5" x14ac:dyDescent="0.35">
      <c r="A115" t="s">
        <v>450</v>
      </c>
      <c r="B115" t="s">
        <v>941</v>
      </c>
      <c r="C115">
        <v>55.43</v>
      </c>
      <c r="D115" s="13">
        <f t="shared" si="2"/>
        <v>55430000000</v>
      </c>
      <c r="E115">
        <f t="shared" si="3"/>
        <v>6.3923149221286188E-3</v>
      </c>
    </row>
    <row r="116" spans="1:5" x14ac:dyDescent="0.35">
      <c r="A116" t="s">
        <v>363</v>
      </c>
      <c r="B116" t="s">
        <v>859</v>
      </c>
      <c r="C116">
        <v>6.23</v>
      </c>
      <c r="D116" s="13">
        <f t="shared" si="2"/>
        <v>6230000000</v>
      </c>
      <c r="E116">
        <f t="shared" si="3"/>
        <v>7.1845791024465627E-4</v>
      </c>
    </row>
    <row r="117" spans="1:5" x14ac:dyDescent="0.35">
      <c r="A117" t="s">
        <v>349</v>
      </c>
      <c r="B117" t="s">
        <v>846</v>
      </c>
      <c r="C117">
        <v>17.329999999999998</v>
      </c>
      <c r="D117" s="13">
        <f t="shared" si="2"/>
        <v>17330000000</v>
      </c>
      <c r="E117">
        <f t="shared" si="3"/>
        <v>1.9985354068282331E-3</v>
      </c>
    </row>
    <row r="118" spans="1:5" x14ac:dyDescent="0.35">
      <c r="A118" t="s">
        <v>314</v>
      </c>
      <c r="B118" t="s">
        <v>811</v>
      </c>
      <c r="C118">
        <v>88.29</v>
      </c>
      <c r="D118" s="13">
        <f t="shared" si="2"/>
        <v>88290000000</v>
      </c>
      <c r="E118">
        <f t="shared" si="3"/>
        <v>1.0181805601203965E-2</v>
      </c>
    </row>
    <row r="119" spans="1:5" x14ac:dyDescent="0.35">
      <c r="A119" t="s">
        <v>186</v>
      </c>
      <c r="B119" t="s">
        <v>688</v>
      </c>
      <c r="C119">
        <v>57.71</v>
      </c>
      <c r="D119" s="13">
        <f t="shared" si="2"/>
        <v>57710000000</v>
      </c>
      <c r="E119">
        <f t="shared" si="3"/>
        <v>6.6552497592647052E-3</v>
      </c>
    </row>
    <row r="120" spans="1:5" x14ac:dyDescent="0.35">
      <c r="A120" t="s">
        <v>406</v>
      </c>
      <c r="B120" t="s">
        <v>901</v>
      </c>
      <c r="C120">
        <v>10.17</v>
      </c>
      <c r="D120" s="13">
        <f t="shared" si="2"/>
        <v>10170000000</v>
      </c>
      <c r="E120">
        <f t="shared" si="3"/>
        <v>1.1728277603833314E-3</v>
      </c>
    </row>
    <row r="121" spans="1:5" x14ac:dyDescent="0.35">
      <c r="A121" t="s">
        <v>103</v>
      </c>
      <c r="B121" t="s">
        <v>607</v>
      </c>
      <c r="C121">
        <v>28.61</v>
      </c>
      <c r="D121" s="13">
        <f t="shared" si="2"/>
        <v>28610000000</v>
      </c>
      <c r="E121">
        <f t="shared" si="3"/>
        <v>3.2993709168699223E-3</v>
      </c>
    </row>
    <row r="122" spans="1:5" x14ac:dyDescent="0.35">
      <c r="A122" t="s">
        <v>272</v>
      </c>
      <c r="B122" t="s">
        <v>770</v>
      </c>
      <c r="C122">
        <v>13.87</v>
      </c>
      <c r="D122" s="13">
        <f t="shared" si="2"/>
        <v>13870000000</v>
      </c>
      <c r="E122">
        <f t="shared" si="3"/>
        <v>1.5995202592445235E-3</v>
      </c>
    </row>
    <row r="123" spans="1:5" x14ac:dyDescent="0.35">
      <c r="A123" t="s">
        <v>323</v>
      </c>
      <c r="B123" t="s">
        <v>820</v>
      </c>
      <c r="C123">
        <v>12.26</v>
      </c>
      <c r="D123" s="13">
        <f t="shared" si="2"/>
        <v>12260000000</v>
      </c>
      <c r="E123">
        <f t="shared" si="3"/>
        <v>1.4138513610914103E-3</v>
      </c>
    </row>
    <row r="124" spans="1:5" x14ac:dyDescent="0.35">
      <c r="A124" t="s">
        <v>101</v>
      </c>
      <c r="B124" t="s">
        <v>605</v>
      </c>
      <c r="C124">
        <v>10.49</v>
      </c>
      <c r="D124" s="13">
        <f t="shared" si="2"/>
        <v>10490000000</v>
      </c>
      <c r="E124">
        <f t="shared" si="3"/>
        <v>1.2097308954199749E-3</v>
      </c>
    </row>
    <row r="125" spans="1:5" x14ac:dyDescent="0.35">
      <c r="A125" t="s">
        <v>445</v>
      </c>
      <c r="B125" t="s">
        <v>936</v>
      </c>
      <c r="C125">
        <v>24.27</v>
      </c>
      <c r="D125" s="13">
        <f t="shared" si="2"/>
        <v>24270000000</v>
      </c>
      <c r="E125">
        <f t="shared" si="3"/>
        <v>2.7988721479354425E-3</v>
      </c>
    </row>
    <row r="126" spans="1:5" x14ac:dyDescent="0.35">
      <c r="A126" t="s">
        <v>498</v>
      </c>
      <c r="B126" t="s">
        <v>982</v>
      </c>
      <c r="C126">
        <v>11.63</v>
      </c>
      <c r="D126" s="13">
        <f t="shared" si="2"/>
        <v>11630000000</v>
      </c>
      <c r="E126">
        <f t="shared" si="3"/>
        <v>1.3411983139880179E-3</v>
      </c>
    </row>
    <row r="127" spans="1:5" x14ac:dyDescent="0.35">
      <c r="A127" t="s">
        <v>43</v>
      </c>
      <c r="B127" t="s">
        <v>553</v>
      </c>
      <c r="C127">
        <v>9.8800000000000008</v>
      </c>
      <c r="D127" s="13">
        <f t="shared" si="2"/>
        <v>9880000000</v>
      </c>
      <c r="E127">
        <f t="shared" si="3"/>
        <v>1.139384294256373E-3</v>
      </c>
    </row>
    <row r="128" spans="1:5" x14ac:dyDescent="0.35">
      <c r="A128" t="s">
        <v>182</v>
      </c>
      <c r="B128" t="s">
        <v>686</v>
      </c>
      <c r="C128">
        <v>7.35</v>
      </c>
      <c r="D128" s="13">
        <f t="shared" si="2"/>
        <v>7350000000</v>
      </c>
      <c r="E128">
        <f t="shared" si="3"/>
        <v>8.4761888287290907E-4</v>
      </c>
    </row>
    <row r="129" spans="1:5" x14ac:dyDescent="0.35">
      <c r="A129" t="s">
        <v>501</v>
      </c>
      <c r="B129" t="s">
        <v>985</v>
      </c>
      <c r="C129">
        <v>19.25</v>
      </c>
      <c r="D129" s="13">
        <f t="shared" si="2"/>
        <v>19250000000</v>
      </c>
      <c r="E129">
        <f t="shared" si="3"/>
        <v>2.2199542170480953E-3</v>
      </c>
    </row>
    <row r="130" spans="1:5" x14ac:dyDescent="0.35">
      <c r="A130" t="s">
        <v>317</v>
      </c>
      <c r="B130" t="s">
        <v>814</v>
      </c>
      <c r="C130">
        <v>12.52</v>
      </c>
      <c r="D130" s="13">
        <f t="shared" si="2"/>
        <v>12520000000</v>
      </c>
      <c r="E130">
        <f t="shared" si="3"/>
        <v>1.4438351583086831E-3</v>
      </c>
    </row>
    <row r="131" spans="1:5" x14ac:dyDescent="0.35">
      <c r="A131" t="s">
        <v>474</v>
      </c>
      <c r="B131" t="s">
        <v>960</v>
      </c>
      <c r="C131">
        <v>33.450000000000003</v>
      </c>
      <c r="D131" s="13">
        <f t="shared" ref="D131:D194" si="4">C131*1000000000</f>
        <v>33450000000.000004</v>
      </c>
      <c r="E131">
        <f t="shared" ref="E131:E194" si="5">D131/$D$277</f>
        <v>3.857530834299158E-3</v>
      </c>
    </row>
    <row r="132" spans="1:5" x14ac:dyDescent="0.35">
      <c r="A132" t="s">
        <v>42</v>
      </c>
      <c r="B132" t="s">
        <v>552</v>
      </c>
      <c r="C132">
        <v>23.87</v>
      </c>
      <c r="D132" s="13">
        <f t="shared" si="4"/>
        <v>23870000000</v>
      </c>
      <c r="E132">
        <f t="shared" si="5"/>
        <v>2.752743229139638E-3</v>
      </c>
    </row>
    <row r="133" spans="1:5" x14ac:dyDescent="0.35">
      <c r="A133" t="s">
        <v>41</v>
      </c>
      <c r="B133" t="s">
        <v>551</v>
      </c>
      <c r="C133">
        <v>19.66</v>
      </c>
      <c r="D133" s="13">
        <f t="shared" si="4"/>
        <v>19660000000</v>
      </c>
      <c r="E133">
        <f t="shared" si="5"/>
        <v>2.2672363588137948E-3</v>
      </c>
    </row>
    <row r="134" spans="1:5" x14ac:dyDescent="0.35">
      <c r="A134" t="s">
        <v>88</v>
      </c>
      <c r="B134" t="s">
        <v>592</v>
      </c>
      <c r="C134">
        <v>28.06</v>
      </c>
      <c r="D134" s="13">
        <f t="shared" si="4"/>
        <v>28060000000</v>
      </c>
      <c r="E134">
        <f t="shared" si="5"/>
        <v>3.2359436535256908E-3</v>
      </c>
    </row>
    <row r="135" spans="1:5" x14ac:dyDescent="0.35">
      <c r="A135" t="s">
        <v>122</v>
      </c>
      <c r="B135" t="s">
        <v>626</v>
      </c>
      <c r="C135">
        <v>5.3</v>
      </c>
      <c r="D135" s="13">
        <f t="shared" si="4"/>
        <v>5300000000</v>
      </c>
      <c r="E135">
        <f t="shared" si="5"/>
        <v>6.1120817404441063E-4</v>
      </c>
    </row>
    <row r="136" spans="1:5" x14ac:dyDescent="0.35">
      <c r="A136" t="s">
        <v>309</v>
      </c>
      <c r="B136" t="s">
        <v>806</v>
      </c>
      <c r="C136">
        <v>11.02</v>
      </c>
      <c r="D136" s="13">
        <f t="shared" si="4"/>
        <v>11020000000</v>
      </c>
      <c r="E136">
        <f t="shared" si="5"/>
        <v>1.270851712824416E-3</v>
      </c>
    </row>
    <row r="137" spans="1:5" x14ac:dyDescent="0.35">
      <c r="A137" t="s">
        <v>40</v>
      </c>
      <c r="B137" t="s">
        <v>550</v>
      </c>
      <c r="C137">
        <v>8.44</v>
      </c>
      <c r="D137" s="13">
        <f t="shared" si="4"/>
        <v>8439999999.999999</v>
      </c>
      <c r="E137">
        <f t="shared" si="5"/>
        <v>9.7332018659147639E-4</v>
      </c>
    </row>
    <row r="138" spans="1:5" x14ac:dyDescent="0.35">
      <c r="A138" t="s">
        <v>492</v>
      </c>
      <c r="B138" t="s">
        <v>976</v>
      </c>
      <c r="C138">
        <v>16.2</v>
      </c>
      <c r="D138" s="13">
        <f t="shared" si="4"/>
        <v>16200000000</v>
      </c>
      <c r="E138">
        <f t="shared" si="5"/>
        <v>1.8682212112300853E-3</v>
      </c>
    </row>
    <row r="139" spans="1:5" x14ac:dyDescent="0.35">
      <c r="A139" t="s">
        <v>500</v>
      </c>
      <c r="B139" t="s">
        <v>984</v>
      </c>
      <c r="C139">
        <v>11.31</v>
      </c>
      <c r="D139" s="13">
        <f t="shared" si="4"/>
        <v>11310000000</v>
      </c>
      <c r="E139">
        <f t="shared" si="5"/>
        <v>1.3042951789513744E-3</v>
      </c>
    </row>
    <row r="140" spans="1:5" x14ac:dyDescent="0.35">
      <c r="A140" t="s">
        <v>505</v>
      </c>
      <c r="B140" t="s">
        <v>989</v>
      </c>
      <c r="C140">
        <v>7.03</v>
      </c>
      <c r="D140" s="13">
        <f t="shared" si="4"/>
        <v>7030000000</v>
      </c>
      <c r="E140">
        <f t="shared" si="5"/>
        <v>8.107157478362654E-4</v>
      </c>
    </row>
    <row r="141" spans="1:5" x14ac:dyDescent="0.35">
      <c r="A141" t="s">
        <v>38</v>
      </c>
      <c r="B141" t="s">
        <v>548</v>
      </c>
      <c r="C141">
        <v>5.23</v>
      </c>
      <c r="D141" s="13">
        <f t="shared" si="4"/>
        <v>5230000000</v>
      </c>
      <c r="E141">
        <f t="shared" si="5"/>
        <v>6.0313561325514478E-4</v>
      </c>
    </row>
    <row r="142" spans="1:5" x14ac:dyDescent="0.35">
      <c r="A142" t="s">
        <v>302</v>
      </c>
      <c r="B142" t="s">
        <v>799</v>
      </c>
      <c r="C142">
        <v>14.76</v>
      </c>
      <c r="D142" s="13">
        <f t="shared" si="4"/>
        <v>14760000000</v>
      </c>
      <c r="E142">
        <f t="shared" si="5"/>
        <v>1.7021571035651889E-3</v>
      </c>
    </row>
    <row r="143" spans="1:5" x14ac:dyDescent="0.35">
      <c r="A143" t="s">
        <v>244</v>
      </c>
      <c r="B143" t="s">
        <v>744</v>
      </c>
      <c r="C143">
        <v>15.78</v>
      </c>
      <c r="D143" s="13">
        <f t="shared" si="4"/>
        <v>15780000000</v>
      </c>
      <c r="E143">
        <f t="shared" si="5"/>
        <v>1.8197858464944906E-3</v>
      </c>
    </row>
    <row r="144" spans="1:5" x14ac:dyDescent="0.35">
      <c r="A144" t="s">
        <v>158</v>
      </c>
      <c r="B144" t="s">
        <v>662</v>
      </c>
      <c r="C144">
        <v>7.89</v>
      </c>
      <c r="D144" s="13">
        <f t="shared" si="4"/>
        <v>7890000000</v>
      </c>
      <c r="E144">
        <f t="shared" si="5"/>
        <v>9.0989292324724529E-4</v>
      </c>
    </row>
    <row r="145" spans="1:5" x14ac:dyDescent="0.35">
      <c r="A145" t="s">
        <v>36</v>
      </c>
      <c r="B145" t="s">
        <v>546</v>
      </c>
      <c r="C145">
        <v>30.68</v>
      </c>
      <c r="D145" s="13">
        <f t="shared" si="4"/>
        <v>30680000000</v>
      </c>
      <c r="E145">
        <f t="shared" si="5"/>
        <v>3.538088071638211E-3</v>
      </c>
    </row>
    <row r="146" spans="1:5" x14ac:dyDescent="0.35">
      <c r="A146" t="s">
        <v>170</v>
      </c>
      <c r="B146" t="s">
        <v>674</v>
      </c>
      <c r="C146">
        <v>9.85</v>
      </c>
      <c r="D146" s="13">
        <f t="shared" si="4"/>
        <v>9850000000</v>
      </c>
      <c r="E146">
        <f t="shared" si="5"/>
        <v>1.1359246253466876E-3</v>
      </c>
    </row>
    <row r="147" spans="1:5" x14ac:dyDescent="0.35">
      <c r="A147" t="s">
        <v>35</v>
      </c>
      <c r="B147" t="s">
        <v>545</v>
      </c>
      <c r="C147">
        <v>29.14</v>
      </c>
      <c r="D147" s="13">
        <f t="shared" si="4"/>
        <v>29140000000</v>
      </c>
      <c r="E147">
        <f t="shared" si="5"/>
        <v>3.3604917342743633E-3</v>
      </c>
    </row>
    <row r="148" spans="1:5" x14ac:dyDescent="0.35">
      <c r="A148" t="s">
        <v>372</v>
      </c>
      <c r="B148" t="s">
        <v>868</v>
      </c>
      <c r="C148">
        <v>51.63</v>
      </c>
      <c r="D148" s="13">
        <f t="shared" si="4"/>
        <v>51630000000</v>
      </c>
      <c r="E148">
        <f t="shared" si="5"/>
        <v>5.9540901935684759E-3</v>
      </c>
    </row>
    <row r="149" spans="1:5" x14ac:dyDescent="0.35">
      <c r="A149" t="s">
        <v>271</v>
      </c>
      <c r="B149" t="s">
        <v>769</v>
      </c>
      <c r="C149">
        <v>19.350000000000001</v>
      </c>
      <c r="D149" s="13">
        <f t="shared" si="4"/>
        <v>19350000000</v>
      </c>
      <c r="E149">
        <f t="shared" si="5"/>
        <v>2.2314864467470464E-3</v>
      </c>
    </row>
    <row r="150" spans="1:5" x14ac:dyDescent="0.35">
      <c r="A150" t="s">
        <v>215</v>
      </c>
      <c r="B150" t="s">
        <v>717</v>
      </c>
      <c r="C150">
        <v>9.98</v>
      </c>
      <c r="D150" s="13">
        <f t="shared" si="4"/>
        <v>9980000000</v>
      </c>
      <c r="E150">
        <f t="shared" si="5"/>
        <v>1.1509165239553241E-3</v>
      </c>
    </row>
    <row r="151" spans="1:5" x14ac:dyDescent="0.35">
      <c r="A151" t="s">
        <v>329</v>
      </c>
      <c r="B151" t="s">
        <v>826</v>
      </c>
      <c r="C151">
        <v>38.25</v>
      </c>
      <c r="D151" s="13">
        <f t="shared" si="4"/>
        <v>38250000000</v>
      </c>
      <c r="E151">
        <f t="shared" si="5"/>
        <v>4.4110778598488122E-3</v>
      </c>
    </row>
    <row r="152" spans="1:5" x14ac:dyDescent="0.35">
      <c r="A152" t="s">
        <v>513</v>
      </c>
      <c r="B152" t="s">
        <v>995</v>
      </c>
      <c r="C152">
        <v>5.58</v>
      </c>
      <c r="D152" s="13">
        <f t="shared" si="4"/>
        <v>5580000000</v>
      </c>
      <c r="E152">
        <f t="shared" si="5"/>
        <v>6.4349841720147383E-4</v>
      </c>
    </row>
    <row r="153" spans="1:5" x14ac:dyDescent="0.35">
      <c r="A153" t="s">
        <v>226</v>
      </c>
      <c r="B153" t="s">
        <v>727</v>
      </c>
      <c r="C153">
        <v>13.22</v>
      </c>
      <c r="D153" s="13">
        <f t="shared" si="4"/>
        <v>13220000000</v>
      </c>
      <c r="E153">
        <f t="shared" si="5"/>
        <v>1.5245607662013412E-3</v>
      </c>
    </row>
    <row r="154" spans="1:5" x14ac:dyDescent="0.35">
      <c r="A154" t="s">
        <v>392</v>
      </c>
      <c r="B154" t="s">
        <v>888</v>
      </c>
      <c r="C154">
        <v>18.73</v>
      </c>
      <c r="D154" s="13">
        <f t="shared" si="4"/>
        <v>18730000000</v>
      </c>
      <c r="E154">
        <f t="shared" si="5"/>
        <v>2.1599866226135493E-3</v>
      </c>
    </row>
    <row r="155" spans="1:5" x14ac:dyDescent="0.35">
      <c r="A155" t="s">
        <v>440</v>
      </c>
      <c r="B155" t="s">
        <v>933</v>
      </c>
      <c r="C155">
        <v>23.23</v>
      </c>
      <c r="D155" s="13">
        <f t="shared" si="4"/>
        <v>23230000000</v>
      </c>
      <c r="E155">
        <f t="shared" si="5"/>
        <v>2.6789369590663509E-3</v>
      </c>
    </row>
    <row r="156" spans="1:5" x14ac:dyDescent="0.35">
      <c r="A156" t="s">
        <v>216</v>
      </c>
      <c r="B156" t="s">
        <v>718</v>
      </c>
      <c r="C156">
        <v>23.88</v>
      </c>
      <c r="D156" s="13">
        <f t="shared" si="4"/>
        <v>23880000000</v>
      </c>
      <c r="E156">
        <f t="shared" si="5"/>
        <v>2.753896452109533E-3</v>
      </c>
    </row>
    <row r="157" spans="1:5" x14ac:dyDescent="0.35">
      <c r="A157" t="s">
        <v>432</v>
      </c>
      <c r="B157" t="s">
        <v>925</v>
      </c>
      <c r="C157">
        <v>15.98</v>
      </c>
      <c r="D157" s="13">
        <f t="shared" si="4"/>
        <v>15980000000</v>
      </c>
      <c r="E157">
        <f t="shared" si="5"/>
        <v>1.8428503058923928E-3</v>
      </c>
    </row>
    <row r="158" spans="1:5" x14ac:dyDescent="0.35">
      <c r="A158" t="s">
        <v>471</v>
      </c>
      <c r="B158" t="s">
        <v>958</v>
      </c>
      <c r="C158">
        <v>11.75</v>
      </c>
      <c r="D158" s="13">
        <f t="shared" si="4"/>
        <v>11750000000</v>
      </c>
      <c r="E158">
        <f t="shared" si="5"/>
        <v>1.3550369896267594E-3</v>
      </c>
    </row>
    <row r="159" spans="1:5" x14ac:dyDescent="0.35">
      <c r="A159" t="s">
        <v>307</v>
      </c>
      <c r="B159" t="s">
        <v>804</v>
      </c>
      <c r="C159">
        <v>8.1</v>
      </c>
      <c r="D159" s="13">
        <f t="shared" si="4"/>
        <v>8100000000</v>
      </c>
      <c r="E159">
        <f t="shared" si="5"/>
        <v>9.3411060561504264E-4</v>
      </c>
    </row>
    <row r="160" spans="1:5" x14ac:dyDescent="0.35">
      <c r="A160" t="s">
        <v>331</v>
      </c>
      <c r="B160" t="s">
        <v>828</v>
      </c>
      <c r="C160">
        <v>8.52</v>
      </c>
      <c r="D160" s="13">
        <f t="shared" si="4"/>
        <v>8520000000</v>
      </c>
      <c r="E160">
        <f t="shared" si="5"/>
        <v>9.8254597035063755E-4</v>
      </c>
    </row>
    <row r="161" spans="1:5" x14ac:dyDescent="0.35">
      <c r="A161" t="s">
        <v>149</v>
      </c>
      <c r="B161" t="s">
        <v>653</v>
      </c>
      <c r="C161">
        <v>16.29</v>
      </c>
      <c r="D161" s="13">
        <f t="shared" si="4"/>
        <v>16290000000</v>
      </c>
      <c r="E161">
        <f t="shared" si="5"/>
        <v>1.8786002179591412E-3</v>
      </c>
    </row>
    <row r="162" spans="1:5" x14ac:dyDescent="0.35">
      <c r="A162" t="s">
        <v>512</v>
      </c>
      <c r="B162" t="s">
        <v>994</v>
      </c>
      <c r="C162">
        <v>20.79</v>
      </c>
      <c r="D162" s="13">
        <f t="shared" si="4"/>
        <v>20790000000</v>
      </c>
      <c r="E162">
        <f t="shared" si="5"/>
        <v>2.3975505544119426E-3</v>
      </c>
    </row>
    <row r="163" spans="1:5" x14ac:dyDescent="0.35">
      <c r="A163" t="s">
        <v>32</v>
      </c>
      <c r="B163" t="s">
        <v>542</v>
      </c>
      <c r="C163">
        <v>10.07</v>
      </c>
      <c r="D163" s="13">
        <f t="shared" si="4"/>
        <v>10070000000</v>
      </c>
      <c r="E163">
        <f t="shared" si="5"/>
        <v>1.1612955306843802E-3</v>
      </c>
    </row>
    <row r="164" spans="1:5" x14ac:dyDescent="0.35">
      <c r="A164" t="s">
        <v>435</v>
      </c>
      <c r="B164" t="s">
        <v>928</v>
      </c>
      <c r="C164">
        <v>6.47</v>
      </c>
      <c r="D164" s="13">
        <f t="shared" si="4"/>
        <v>6470000000</v>
      </c>
      <c r="E164">
        <f t="shared" si="5"/>
        <v>7.46135261522139E-4</v>
      </c>
    </row>
    <row r="165" spans="1:5" x14ac:dyDescent="0.35">
      <c r="A165" t="s">
        <v>31</v>
      </c>
      <c r="B165" t="s">
        <v>541</v>
      </c>
      <c r="C165">
        <v>9.5299999999999994</v>
      </c>
      <c r="D165" s="13">
        <f t="shared" si="4"/>
        <v>9530000000</v>
      </c>
      <c r="E165">
        <f t="shared" si="5"/>
        <v>1.099021490310044E-3</v>
      </c>
    </row>
    <row r="166" spans="1:5" x14ac:dyDescent="0.35">
      <c r="A166" t="s">
        <v>78</v>
      </c>
      <c r="B166" t="s">
        <v>583</v>
      </c>
      <c r="C166">
        <v>3.83</v>
      </c>
      <c r="D166" s="13">
        <f t="shared" si="4"/>
        <v>3830000000</v>
      </c>
      <c r="E166">
        <f t="shared" si="5"/>
        <v>4.4168439746982883E-4</v>
      </c>
    </row>
    <row r="167" spans="1:5" x14ac:dyDescent="0.35">
      <c r="A167" t="s">
        <v>458</v>
      </c>
      <c r="B167" t="s">
        <v>946</v>
      </c>
      <c r="C167">
        <v>12.28</v>
      </c>
      <c r="D167" s="13">
        <f t="shared" si="4"/>
        <v>12280000000</v>
      </c>
      <c r="E167">
        <f t="shared" si="5"/>
        <v>1.4161578070312005E-3</v>
      </c>
    </row>
    <row r="168" spans="1:5" x14ac:dyDescent="0.35">
      <c r="A168" t="s">
        <v>373</v>
      </c>
      <c r="B168" t="s">
        <v>869</v>
      </c>
      <c r="C168">
        <v>4.99</v>
      </c>
      <c r="D168" s="13">
        <f t="shared" si="4"/>
        <v>4990000000</v>
      </c>
      <c r="E168">
        <f t="shared" si="5"/>
        <v>5.7545826197766205E-4</v>
      </c>
    </row>
    <row r="169" spans="1:5" x14ac:dyDescent="0.35">
      <c r="A169" t="s">
        <v>28</v>
      </c>
      <c r="B169" t="s">
        <v>538</v>
      </c>
      <c r="C169">
        <v>9.0500000000000007</v>
      </c>
      <c r="D169" s="13">
        <f t="shared" si="4"/>
        <v>9050000000</v>
      </c>
      <c r="E169">
        <f t="shared" si="5"/>
        <v>1.0436667877550786E-3</v>
      </c>
    </row>
    <row r="170" spans="1:5" x14ac:dyDescent="0.35">
      <c r="A170" t="s">
        <v>514</v>
      </c>
      <c r="B170" t="s">
        <v>996</v>
      </c>
      <c r="C170">
        <v>23.84</v>
      </c>
      <c r="D170" s="13">
        <f t="shared" si="4"/>
        <v>23840000000</v>
      </c>
      <c r="E170">
        <f t="shared" si="5"/>
        <v>2.7492835602299526E-3</v>
      </c>
    </row>
    <row r="171" spans="1:5" x14ac:dyDescent="0.35">
      <c r="A171" t="s">
        <v>124</v>
      </c>
      <c r="B171" t="s">
        <v>628</v>
      </c>
      <c r="C171">
        <v>6.44</v>
      </c>
      <c r="D171" s="13">
        <f t="shared" si="4"/>
        <v>6440000000</v>
      </c>
      <c r="E171">
        <f t="shared" si="5"/>
        <v>7.4267559261245362E-4</v>
      </c>
    </row>
    <row r="172" spans="1:5" x14ac:dyDescent="0.35">
      <c r="A172" t="s">
        <v>394</v>
      </c>
      <c r="B172" t="s">
        <v>890</v>
      </c>
      <c r="C172">
        <v>26.37</v>
      </c>
      <c r="D172" s="13">
        <f t="shared" si="4"/>
        <v>26370000000</v>
      </c>
      <c r="E172">
        <f t="shared" si="5"/>
        <v>3.0410489716134166E-3</v>
      </c>
    </row>
    <row r="173" spans="1:5" x14ac:dyDescent="0.35">
      <c r="A173" t="s">
        <v>183</v>
      </c>
      <c r="B173" t="s">
        <v>687</v>
      </c>
      <c r="C173">
        <v>18.3</v>
      </c>
      <c r="D173" s="13">
        <f t="shared" si="4"/>
        <v>18300000000</v>
      </c>
      <c r="E173">
        <f t="shared" si="5"/>
        <v>2.1103980349080594E-3</v>
      </c>
    </row>
    <row r="174" spans="1:5" x14ac:dyDescent="0.35">
      <c r="A174" t="s">
        <v>380</v>
      </c>
      <c r="B174" t="s">
        <v>876</v>
      </c>
      <c r="C174">
        <v>13.1</v>
      </c>
      <c r="D174" s="13">
        <f t="shared" si="4"/>
        <v>13100000000</v>
      </c>
      <c r="E174">
        <f t="shared" si="5"/>
        <v>1.5107220905625999E-3</v>
      </c>
    </row>
    <row r="175" spans="1:5" x14ac:dyDescent="0.35">
      <c r="A175" t="s">
        <v>70</v>
      </c>
      <c r="B175" t="s">
        <v>576</v>
      </c>
      <c r="C175">
        <v>12.93</v>
      </c>
      <c r="D175" s="13">
        <f t="shared" si="4"/>
        <v>12930000000</v>
      </c>
      <c r="E175">
        <f t="shared" si="5"/>
        <v>1.4911173000743828E-3</v>
      </c>
    </row>
    <row r="176" spans="1:5" x14ac:dyDescent="0.35">
      <c r="A176" t="s">
        <v>319</v>
      </c>
      <c r="B176" t="s">
        <v>816</v>
      </c>
      <c r="C176">
        <v>34.840000000000003</v>
      </c>
      <c r="D176" s="13">
        <f t="shared" si="4"/>
        <v>34840000000</v>
      </c>
      <c r="E176">
        <f t="shared" si="5"/>
        <v>4.0178288271145784E-3</v>
      </c>
    </row>
    <row r="177" spans="1:5" x14ac:dyDescent="0.35">
      <c r="A177" t="s">
        <v>233</v>
      </c>
      <c r="B177" t="s">
        <v>733</v>
      </c>
      <c r="C177">
        <v>5.99</v>
      </c>
      <c r="D177" s="13">
        <f t="shared" si="4"/>
        <v>5990000000</v>
      </c>
      <c r="E177">
        <f t="shared" si="5"/>
        <v>6.9078055896717354E-4</v>
      </c>
    </row>
    <row r="178" spans="1:5" x14ac:dyDescent="0.35">
      <c r="A178" t="s">
        <v>265</v>
      </c>
      <c r="B178" t="s">
        <v>763</v>
      </c>
      <c r="C178">
        <v>6.99</v>
      </c>
      <c r="D178" s="13">
        <f t="shared" si="4"/>
        <v>6990000000</v>
      </c>
      <c r="E178">
        <f t="shared" si="5"/>
        <v>8.0610285595668493E-4</v>
      </c>
    </row>
    <row r="179" spans="1:5" x14ac:dyDescent="0.35">
      <c r="A179" t="s">
        <v>402</v>
      </c>
      <c r="B179" t="s">
        <v>898</v>
      </c>
      <c r="C179">
        <v>6.22</v>
      </c>
      <c r="D179" s="13">
        <f t="shared" si="4"/>
        <v>6220000000</v>
      </c>
      <c r="E179">
        <f t="shared" si="5"/>
        <v>7.1730468727476118E-4</v>
      </c>
    </row>
    <row r="180" spans="1:5" x14ac:dyDescent="0.35">
      <c r="A180" t="s">
        <v>115</v>
      </c>
      <c r="B180" t="s">
        <v>619</v>
      </c>
      <c r="C180">
        <v>6.74</v>
      </c>
      <c r="D180" s="13">
        <f t="shared" si="4"/>
        <v>6740000000</v>
      </c>
      <c r="E180">
        <f t="shared" si="5"/>
        <v>7.7727228170930711E-4</v>
      </c>
    </row>
    <row r="181" spans="1:5" x14ac:dyDescent="0.35">
      <c r="A181" t="s">
        <v>126</v>
      </c>
      <c r="B181" t="s">
        <v>630</v>
      </c>
      <c r="C181">
        <v>22.41</v>
      </c>
      <c r="D181" s="13">
        <f t="shared" si="4"/>
        <v>22410000000</v>
      </c>
      <c r="E181">
        <f t="shared" si="5"/>
        <v>2.5843726755349515E-3</v>
      </c>
    </row>
    <row r="182" spans="1:5" x14ac:dyDescent="0.35">
      <c r="A182" t="s">
        <v>457</v>
      </c>
      <c r="B182" t="s">
        <v>945</v>
      </c>
      <c r="C182">
        <v>14.44</v>
      </c>
      <c r="D182" s="13">
        <f t="shared" si="4"/>
        <v>14440000000</v>
      </c>
      <c r="E182">
        <f t="shared" si="5"/>
        <v>1.6652539685285451E-3</v>
      </c>
    </row>
    <row r="183" spans="1:5" x14ac:dyDescent="0.35">
      <c r="A183" t="s">
        <v>264</v>
      </c>
      <c r="B183" t="s">
        <v>762</v>
      </c>
      <c r="C183">
        <v>8.35</v>
      </c>
      <c r="D183" s="13">
        <f t="shared" si="4"/>
        <v>8350000000</v>
      </c>
      <c r="E183">
        <f t="shared" si="5"/>
        <v>9.6294117986242046E-4</v>
      </c>
    </row>
    <row r="184" spans="1:5" x14ac:dyDescent="0.35">
      <c r="A184" t="s">
        <v>24</v>
      </c>
      <c r="B184" t="s">
        <v>535</v>
      </c>
      <c r="C184">
        <v>9.73</v>
      </c>
      <c r="D184" s="13">
        <f t="shared" si="4"/>
        <v>9730000000</v>
      </c>
      <c r="E184">
        <f t="shared" si="5"/>
        <v>1.1220859497079463E-3</v>
      </c>
    </row>
    <row r="185" spans="1:5" x14ac:dyDescent="0.35">
      <c r="A185" t="s">
        <v>106</v>
      </c>
      <c r="B185" t="s">
        <v>610</v>
      </c>
      <c r="C185">
        <v>10.65</v>
      </c>
      <c r="D185" s="13">
        <f t="shared" si="4"/>
        <v>10650000000</v>
      </c>
      <c r="E185">
        <f t="shared" si="5"/>
        <v>1.2281824629382968E-3</v>
      </c>
    </row>
    <row r="186" spans="1:5" x14ac:dyDescent="0.35">
      <c r="A186" t="s">
        <v>503</v>
      </c>
      <c r="B186" t="s">
        <v>987</v>
      </c>
      <c r="C186">
        <v>6.75</v>
      </c>
      <c r="D186" s="13">
        <f t="shared" si="4"/>
        <v>6750000000</v>
      </c>
      <c r="E186">
        <f t="shared" si="5"/>
        <v>7.784255046792022E-4</v>
      </c>
    </row>
    <row r="187" spans="1:5" x14ac:dyDescent="0.35">
      <c r="A187" t="s">
        <v>160</v>
      </c>
      <c r="B187" t="s">
        <v>664</v>
      </c>
      <c r="C187">
        <v>9.51</v>
      </c>
      <c r="D187" s="13">
        <f t="shared" si="4"/>
        <v>9510000000</v>
      </c>
      <c r="E187">
        <f t="shared" si="5"/>
        <v>1.0967150443702538E-3</v>
      </c>
    </row>
    <row r="188" spans="1:5" x14ac:dyDescent="0.35">
      <c r="A188" t="s">
        <v>257</v>
      </c>
      <c r="B188" t="s">
        <v>755</v>
      </c>
      <c r="C188">
        <v>7.05</v>
      </c>
      <c r="D188" s="13">
        <f t="shared" si="4"/>
        <v>7050000000</v>
      </c>
      <c r="E188">
        <f t="shared" si="5"/>
        <v>8.1302219377605558E-4</v>
      </c>
    </row>
    <row r="189" spans="1:5" x14ac:dyDescent="0.35">
      <c r="A189" t="s">
        <v>336</v>
      </c>
      <c r="B189" t="s">
        <v>833</v>
      </c>
      <c r="C189">
        <v>9.35</v>
      </c>
      <c r="D189" s="13">
        <f t="shared" si="4"/>
        <v>9350000000</v>
      </c>
      <c r="E189">
        <f t="shared" si="5"/>
        <v>1.078263476851932E-3</v>
      </c>
    </row>
    <row r="190" spans="1:5" x14ac:dyDescent="0.35">
      <c r="A190" t="s">
        <v>368</v>
      </c>
      <c r="B190" t="s">
        <v>864</v>
      </c>
      <c r="C190">
        <v>13.35</v>
      </c>
      <c r="D190" s="13">
        <f t="shared" si="4"/>
        <v>13350000000</v>
      </c>
      <c r="E190">
        <f t="shared" si="5"/>
        <v>1.5395526648099777E-3</v>
      </c>
    </row>
    <row r="191" spans="1:5" x14ac:dyDescent="0.35">
      <c r="A191" t="s">
        <v>378</v>
      </c>
      <c r="B191" t="s">
        <v>874</v>
      </c>
      <c r="C191">
        <v>16.649999999999999</v>
      </c>
      <c r="D191" s="13">
        <f t="shared" si="4"/>
        <v>16649999999.999998</v>
      </c>
      <c r="E191">
        <f t="shared" si="5"/>
        <v>1.9201162448753651E-3</v>
      </c>
    </row>
    <row r="192" spans="1:5" x14ac:dyDescent="0.35">
      <c r="A192" t="s">
        <v>384</v>
      </c>
      <c r="B192" t="s">
        <v>880</v>
      </c>
      <c r="C192">
        <v>1.3</v>
      </c>
      <c r="D192" s="13">
        <f t="shared" si="4"/>
        <v>1300000000</v>
      </c>
      <c r="E192">
        <f t="shared" si="5"/>
        <v>1.4991898608636488E-4</v>
      </c>
    </row>
    <row r="193" spans="1:5" x14ac:dyDescent="0.35">
      <c r="A193" t="s">
        <v>119</v>
      </c>
      <c r="B193" t="s">
        <v>623</v>
      </c>
      <c r="C193">
        <v>23.85</v>
      </c>
      <c r="D193" s="13">
        <f t="shared" si="4"/>
        <v>23850000000</v>
      </c>
      <c r="E193">
        <f t="shared" si="5"/>
        <v>2.7504367831998476E-3</v>
      </c>
    </row>
    <row r="194" spans="1:5" x14ac:dyDescent="0.35">
      <c r="A194" t="s">
        <v>275</v>
      </c>
      <c r="B194" t="s">
        <v>773</v>
      </c>
      <c r="C194">
        <v>7.19</v>
      </c>
      <c r="D194" s="13">
        <f t="shared" si="4"/>
        <v>7190000000</v>
      </c>
      <c r="E194">
        <f t="shared" si="5"/>
        <v>8.2916731535458718E-4</v>
      </c>
    </row>
    <row r="195" spans="1:5" x14ac:dyDescent="0.35">
      <c r="A195" t="s">
        <v>412</v>
      </c>
      <c r="B195" t="s">
        <v>907</v>
      </c>
      <c r="C195">
        <v>15.2</v>
      </c>
      <c r="D195" s="13">
        <f t="shared" ref="D195:D258" si="6">C195*1000000000</f>
        <v>15200000000</v>
      </c>
      <c r="E195">
        <f t="shared" ref="E195:E258" si="7">D195/$D$277</f>
        <v>1.7528989142405738E-3</v>
      </c>
    </row>
    <row r="196" spans="1:5" x14ac:dyDescent="0.35">
      <c r="A196" t="s">
        <v>116</v>
      </c>
      <c r="B196" t="s">
        <v>620</v>
      </c>
      <c r="C196">
        <v>16.809999999999999</v>
      </c>
      <c r="D196" s="13">
        <f t="shared" si="6"/>
        <v>16809999999.999998</v>
      </c>
      <c r="E196">
        <f t="shared" si="7"/>
        <v>1.938567812393687E-3</v>
      </c>
    </row>
    <row r="197" spans="1:5" x14ac:dyDescent="0.35">
      <c r="A197" t="s">
        <v>321</v>
      </c>
      <c r="B197" t="s">
        <v>818</v>
      </c>
      <c r="C197">
        <v>5.7</v>
      </c>
      <c r="D197" s="13">
        <f t="shared" si="6"/>
        <v>5700000000</v>
      </c>
      <c r="E197">
        <f t="shared" si="7"/>
        <v>6.5733709284021514E-4</v>
      </c>
    </row>
    <row r="198" spans="1:5" x14ac:dyDescent="0.35">
      <c r="A198" t="s">
        <v>165</v>
      </c>
      <c r="B198" t="s">
        <v>669</v>
      </c>
      <c r="C198">
        <v>8.9</v>
      </c>
      <c r="D198" s="13">
        <f t="shared" si="6"/>
        <v>8900000000</v>
      </c>
      <c r="E198">
        <f t="shared" si="7"/>
        <v>1.0263684432066519E-3</v>
      </c>
    </row>
    <row r="199" spans="1:5" x14ac:dyDescent="0.35">
      <c r="A199" t="s">
        <v>15</v>
      </c>
      <c r="B199" t="s">
        <v>526</v>
      </c>
      <c r="C199">
        <v>5.66</v>
      </c>
      <c r="D199" s="13">
        <f t="shared" si="6"/>
        <v>5660000000</v>
      </c>
      <c r="E199">
        <f t="shared" si="7"/>
        <v>6.5272420096063478E-4</v>
      </c>
    </row>
    <row r="200" spans="1:5" x14ac:dyDescent="0.35">
      <c r="A200" t="s">
        <v>91</v>
      </c>
      <c r="B200" t="s">
        <v>595</v>
      </c>
      <c r="C200">
        <v>6.29</v>
      </c>
      <c r="D200" s="13">
        <f t="shared" si="6"/>
        <v>6290000000</v>
      </c>
      <c r="E200">
        <f t="shared" si="7"/>
        <v>7.2537724806402692E-4</v>
      </c>
    </row>
    <row r="201" spans="1:5" x14ac:dyDescent="0.35">
      <c r="A201" t="s">
        <v>375</v>
      </c>
      <c r="B201" t="s">
        <v>871</v>
      </c>
      <c r="C201">
        <v>5.17</v>
      </c>
      <c r="D201" s="13">
        <f t="shared" si="6"/>
        <v>5170000000</v>
      </c>
      <c r="E201">
        <f t="shared" si="7"/>
        <v>5.9621627543577412E-4</v>
      </c>
    </row>
    <row r="202" spans="1:5" x14ac:dyDescent="0.35">
      <c r="A202" t="s">
        <v>202</v>
      </c>
      <c r="B202" t="s">
        <v>704</v>
      </c>
      <c r="C202">
        <v>13.38</v>
      </c>
      <c r="D202" s="13">
        <f t="shared" si="6"/>
        <v>13380000000</v>
      </c>
      <c r="E202">
        <f t="shared" si="7"/>
        <v>1.5430123337196631E-3</v>
      </c>
    </row>
    <row r="203" spans="1:5" x14ac:dyDescent="0.35">
      <c r="A203" t="s">
        <v>446</v>
      </c>
      <c r="B203" t="s">
        <v>937</v>
      </c>
      <c r="C203">
        <v>3.14</v>
      </c>
      <c r="D203" s="13">
        <f t="shared" si="6"/>
        <v>3140000000</v>
      </c>
      <c r="E203">
        <f t="shared" si="7"/>
        <v>3.6211201254706592E-4</v>
      </c>
    </row>
    <row r="204" spans="1:5" x14ac:dyDescent="0.35">
      <c r="A204" t="s">
        <v>11</v>
      </c>
      <c r="B204" t="s">
        <v>523</v>
      </c>
      <c r="C204">
        <v>11.48</v>
      </c>
      <c r="D204" s="13">
        <f t="shared" si="6"/>
        <v>11480000000</v>
      </c>
      <c r="E204">
        <f t="shared" si="7"/>
        <v>1.3238999694395912E-3</v>
      </c>
    </row>
    <row r="205" spans="1:5" x14ac:dyDescent="0.35">
      <c r="A205" t="s">
        <v>209</v>
      </c>
      <c r="B205" t="s">
        <v>711</v>
      </c>
      <c r="C205">
        <v>18.13</v>
      </c>
      <c r="D205" s="13">
        <f t="shared" si="6"/>
        <v>18130000000</v>
      </c>
      <c r="E205">
        <f t="shared" si="7"/>
        <v>2.0907932444198425E-3</v>
      </c>
    </row>
    <row r="206" spans="1:5" x14ac:dyDescent="0.35">
      <c r="A206" t="s">
        <v>204</v>
      </c>
      <c r="B206" t="s">
        <v>706</v>
      </c>
      <c r="C206">
        <v>4.47</v>
      </c>
      <c r="D206" s="13">
        <f t="shared" si="6"/>
        <v>4470000000</v>
      </c>
      <c r="E206">
        <f t="shared" si="7"/>
        <v>5.1549066754311612E-4</v>
      </c>
    </row>
    <row r="207" spans="1:5" x14ac:dyDescent="0.35">
      <c r="A207" t="s">
        <v>189</v>
      </c>
      <c r="B207" t="s">
        <v>691</v>
      </c>
      <c r="C207">
        <v>4.57</v>
      </c>
      <c r="D207" s="13">
        <f t="shared" si="6"/>
        <v>4570000000</v>
      </c>
      <c r="E207">
        <f t="shared" si="7"/>
        <v>5.2702289724206725E-4</v>
      </c>
    </row>
    <row r="208" spans="1:5" x14ac:dyDescent="0.35">
      <c r="A208" t="s">
        <v>146</v>
      </c>
      <c r="B208" t="s">
        <v>650</v>
      </c>
      <c r="C208">
        <v>7.32</v>
      </c>
      <c r="D208" s="13">
        <f t="shared" si="6"/>
        <v>7320000000</v>
      </c>
      <c r="E208">
        <f t="shared" si="7"/>
        <v>8.4415921396322369E-4</v>
      </c>
    </row>
    <row r="209" spans="1:5" x14ac:dyDescent="0.35">
      <c r="A209" t="s">
        <v>333</v>
      </c>
      <c r="B209" t="s">
        <v>830</v>
      </c>
      <c r="C209">
        <v>4.17</v>
      </c>
      <c r="D209" s="13">
        <f t="shared" si="6"/>
        <v>4170000000</v>
      </c>
      <c r="E209">
        <f t="shared" si="7"/>
        <v>4.8089397844626268E-4</v>
      </c>
    </row>
    <row r="210" spans="1:5" x14ac:dyDescent="0.35">
      <c r="A210" t="s">
        <v>347</v>
      </c>
      <c r="B210" t="s">
        <v>844</v>
      </c>
      <c r="C210">
        <v>6.85</v>
      </c>
      <c r="D210" s="13">
        <f t="shared" si="6"/>
        <v>6850000000</v>
      </c>
      <c r="E210">
        <f t="shared" si="7"/>
        <v>7.8995773437815333E-4</v>
      </c>
    </row>
    <row r="211" spans="1:5" x14ac:dyDescent="0.35">
      <c r="A211" t="s">
        <v>415</v>
      </c>
      <c r="B211" t="s">
        <v>910</v>
      </c>
      <c r="C211">
        <v>19.14</v>
      </c>
      <c r="D211" s="13">
        <f t="shared" si="6"/>
        <v>19140000000</v>
      </c>
      <c r="E211">
        <f t="shared" si="7"/>
        <v>2.2072687643792488E-3</v>
      </c>
    </row>
    <row r="212" spans="1:5" x14ac:dyDescent="0.35">
      <c r="A212" t="s">
        <v>427</v>
      </c>
      <c r="B212" t="s">
        <v>922</v>
      </c>
      <c r="C212">
        <v>14.69</v>
      </c>
      <c r="D212" s="13">
        <f t="shared" si="6"/>
        <v>14690000000</v>
      </c>
      <c r="E212">
        <f t="shared" si="7"/>
        <v>1.6940845427759229E-3</v>
      </c>
    </row>
    <row r="213" spans="1:5" x14ac:dyDescent="0.35">
      <c r="A213" t="s">
        <v>497</v>
      </c>
      <c r="B213" t="s">
        <v>981</v>
      </c>
      <c r="C213">
        <v>4.3499999999999996</v>
      </c>
      <c r="D213" s="13">
        <f t="shared" si="6"/>
        <v>4350000000</v>
      </c>
      <c r="E213">
        <f t="shared" si="7"/>
        <v>5.016519919043747E-4</v>
      </c>
    </row>
    <row r="214" spans="1:5" x14ac:dyDescent="0.35">
      <c r="A214" t="s">
        <v>393</v>
      </c>
      <c r="B214" t="s">
        <v>889</v>
      </c>
      <c r="C214">
        <v>3.45</v>
      </c>
      <c r="D214" s="13">
        <f t="shared" si="6"/>
        <v>3450000000</v>
      </c>
      <c r="E214">
        <f t="shared" si="7"/>
        <v>3.9786192461381445E-4</v>
      </c>
    </row>
    <row r="215" spans="1:5" x14ac:dyDescent="0.35">
      <c r="A215" t="s">
        <v>470</v>
      </c>
      <c r="B215" t="s">
        <v>957</v>
      </c>
      <c r="C215">
        <v>6.66</v>
      </c>
      <c r="D215" s="13">
        <f t="shared" si="6"/>
        <v>6660000000</v>
      </c>
      <c r="E215">
        <f t="shared" si="7"/>
        <v>7.6804649795014616E-4</v>
      </c>
    </row>
    <row r="216" spans="1:5" x14ac:dyDescent="0.35">
      <c r="A216" t="s">
        <v>241</v>
      </c>
      <c r="B216" t="s">
        <v>741</v>
      </c>
      <c r="C216">
        <v>11.82</v>
      </c>
      <c r="D216" s="13">
        <f t="shared" si="6"/>
        <v>11820000000</v>
      </c>
      <c r="E216">
        <f t="shared" si="7"/>
        <v>1.3631095504160252E-3</v>
      </c>
    </row>
    <row r="217" spans="1:5" x14ac:dyDescent="0.35">
      <c r="A217" t="s">
        <v>6</v>
      </c>
      <c r="B217" t="s">
        <v>518</v>
      </c>
      <c r="C217">
        <v>9.9600000000000009</v>
      </c>
      <c r="D217" s="13">
        <f t="shared" si="6"/>
        <v>9960000000</v>
      </c>
      <c r="E217">
        <f t="shared" si="7"/>
        <v>1.1486100780155339E-3</v>
      </c>
    </row>
    <row r="218" spans="1:5" x14ac:dyDescent="0.35">
      <c r="A218" t="s">
        <v>254</v>
      </c>
      <c r="B218" t="s">
        <v>752</v>
      </c>
      <c r="C218">
        <v>8.8699999999999992</v>
      </c>
      <c r="D218" s="13">
        <f t="shared" si="6"/>
        <v>8870000000</v>
      </c>
      <c r="E218">
        <f t="shared" si="7"/>
        <v>1.0229087742969665E-3</v>
      </c>
    </row>
    <row r="219" spans="1:5" x14ac:dyDescent="0.35">
      <c r="A219" t="s">
        <v>169</v>
      </c>
      <c r="B219" t="s">
        <v>673</v>
      </c>
      <c r="C219">
        <v>9.6999999999999993</v>
      </c>
      <c r="D219" s="13">
        <f t="shared" si="6"/>
        <v>9700000000</v>
      </c>
      <c r="E219">
        <f t="shared" si="7"/>
        <v>1.1186262807982609E-3</v>
      </c>
    </row>
    <row r="220" spans="1:5" x14ac:dyDescent="0.35">
      <c r="A220" t="s">
        <v>141</v>
      </c>
      <c r="B220" t="s">
        <v>645</v>
      </c>
      <c r="C220">
        <v>9.48</v>
      </c>
      <c r="D220" s="13">
        <f t="shared" si="6"/>
        <v>9480000000</v>
      </c>
      <c r="E220">
        <f t="shared" si="7"/>
        <v>1.0932553754605685E-3</v>
      </c>
    </row>
    <row r="221" spans="1:5" x14ac:dyDescent="0.35">
      <c r="A221" t="s">
        <v>7</v>
      </c>
      <c r="B221" t="s">
        <v>519</v>
      </c>
      <c r="C221">
        <v>12.89</v>
      </c>
      <c r="D221" s="13">
        <f t="shared" si="6"/>
        <v>12890000000</v>
      </c>
      <c r="E221">
        <f t="shared" si="7"/>
        <v>1.4865044081948024E-3</v>
      </c>
    </row>
    <row r="222" spans="1:5" x14ac:dyDescent="0.35">
      <c r="A222" t="s">
        <v>8</v>
      </c>
      <c r="B222" t="s">
        <v>520</v>
      </c>
      <c r="C222">
        <v>11.53</v>
      </c>
      <c r="D222" s="13">
        <f t="shared" si="6"/>
        <v>11530000000</v>
      </c>
      <c r="E222">
        <f t="shared" si="7"/>
        <v>1.3296660842890668E-3</v>
      </c>
    </row>
    <row r="223" spans="1:5" x14ac:dyDescent="0.35">
      <c r="A223" t="s">
        <v>9</v>
      </c>
      <c r="B223" t="s">
        <v>521</v>
      </c>
      <c r="C223">
        <v>30.22</v>
      </c>
      <c r="D223" s="13">
        <f t="shared" si="6"/>
        <v>30220000000</v>
      </c>
      <c r="E223">
        <f t="shared" si="7"/>
        <v>3.4850398150230357E-3</v>
      </c>
    </row>
    <row r="224" spans="1:5" x14ac:dyDescent="0.35">
      <c r="A224" t="s">
        <v>249</v>
      </c>
      <c r="B224" t="s">
        <v>250</v>
      </c>
      <c r="C224">
        <v>5.43</v>
      </c>
      <c r="D224" s="13">
        <f t="shared" si="6"/>
        <v>5430000000</v>
      </c>
      <c r="E224">
        <f t="shared" si="7"/>
        <v>6.2620007265304714E-4</v>
      </c>
    </row>
    <row r="225" spans="1:5" x14ac:dyDescent="0.35">
      <c r="A225" t="s">
        <v>494</v>
      </c>
      <c r="B225" t="s">
        <v>978</v>
      </c>
      <c r="C225">
        <v>24.14</v>
      </c>
      <c r="D225" s="13">
        <f t="shared" si="6"/>
        <v>24140000000</v>
      </c>
      <c r="E225">
        <f t="shared" si="7"/>
        <v>2.783880249326806E-3</v>
      </c>
    </row>
    <row r="226" spans="1:5" x14ac:dyDescent="0.35">
      <c r="A226" t="s">
        <v>348</v>
      </c>
      <c r="B226" t="s">
        <v>845</v>
      </c>
      <c r="C226">
        <v>14</v>
      </c>
      <c r="D226" s="13">
        <f t="shared" si="6"/>
        <v>14000000000</v>
      </c>
      <c r="E226">
        <f t="shared" si="7"/>
        <v>1.61451215785316E-3</v>
      </c>
    </row>
    <row r="227" spans="1:5" x14ac:dyDescent="0.35">
      <c r="A227" t="s">
        <v>487</v>
      </c>
      <c r="B227" t="s">
        <v>971</v>
      </c>
      <c r="C227">
        <v>6.53</v>
      </c>
      <c r="D227" s="13">
        <f t="shared" si="6"/>
        <v>6530000000</v>
      </c>
      <c r="E227">
        <f t="shared" si="7"/>
        <v>7.5305459934150965E-4</v>
      </c>
    </row>
    <row r="228" spans="1:5" x14ac:dyDescent="0.35">
      <c r="A228" t="s">
        <v>422</v>
      </c>
      <c r="B228" t="s">
        <v>917</v>
      </c>
      <c r="C228">
        <v>8.74</v>
      </c>
      <c r="D228" s="13">
        <f t="shared" si="6"/>
        <v>8740000000</v>
      </c>
      <c r="E228">
        <f t="shared" si="7"/>
        <v>1.00791687568833E-3</v>
      </c>
    </row>
    <row r="229" spans="1:5" x14ac:dyDescent="0.35">
      <c r="A229" t="s">
        <v>382</v>
      </c>
      <c r="B229" t="s">
        <v>878</v>
      </c>
      <c r="C229">
        <v>2.15</v>
      </c>
      <c r="D229" s="13">
        <f t="shared" si="6"/>
        <v>2150000000</v>
      </c>
      <c r="E229">
        <f t="shared" si="7"/>
        <v>2.4794293852744957E-4</v>
      </c>
    </row>
    <row r="230" spans="1:5" x14ac:dyDescent="0.35">
      <c r="A230" t="s">
        <v>413</v>
      </c>
      <c r="B230" t="s">
        <v>908</v>
      </c>
      <c r="C230">
        <v>7.52</v>
      </c>
      <c r="D230" s="13">
        <f t="shared" si="6"/>
        <v>7520000000</v>
      </c>
      <c r="E230">
        <f t="shared" si="7"/>
        <v>8.6722367336112605E-4</v>
      </c>
    </row>
    <row r="231" spans="1:5" x14ac:dyDescent="0.35">
      <c r="A231" t="s">
        <v>420</v>
      </c>
      <c r="B231" t="s">
        <v>915</v>
      </c>
      <c r="C231">
        <v>13.21</v>
      </c>
      <c r="D231" s="13">
        <f t="shared" si="6"/>
        <v>13210000000</v>
      </c>
      <c r="E231">
        <f t="shared" si="7"/>
        <v>1.523407543231446E-3</v>
      </c>
    </row>
    <row r="232" spans="1:5" x14ac:dyDescent="0.35">
      <c r="A232" t="s">
        <v>491</v>
      </c>
      <c r="B232" t="s">
        <v>975</v>
      </c>
      <c r="C232">
        <v>10.94</v>
      </c>
      <c r="D232" s="13">
        <f t="shared" si="6"/>
        <v>10940000000</v>
      </c>
      <c r="E232">
        <f t="shared" si="7"/>
        <v>1.2616259290652552E-3</v>
      </c>
    </row>
    <row r="233" spans="1:5" x14ac:dyDescent="0.35">
      <c r="A233" t="s">
        <v>12</v>
      </c>
      <c r="B233" t="s">
        <v>12</v>
      </c>
      <c r="C233">
        <v>6.39</v>
      </c>
      <c r="D233" s="13">
        <f t="shared" si="6"/>
        <v>6390000000</v>
      </c>
      <c r="E233">
        <f t="shared" si="7"/>
        <v>7.3690947776297805E-4</v>
      </c>
    </row>
    <row r="234" spans="1:5" x14ac:dyDescent="0.35">
      <c r="A234" t="s">
        <v>371</v>
      </c>
      <c r="B234" t="s">
        <v>867</v>
      </c>
      <c r="C234">
        <v>28.81</v>
      </c>
      <c r="D234" s="13">
        <f t="shared" si="6"/>
        <v>28810000000</v>
      </c>
      <c r="E234">
        <f t="shared" si="7"/>
        <v>3.3224353762678245E-3</v>
      </c>
    </row>
    <row r="235" spans="1:5" x14ac:dyDescent="0.35">
      <c r="A235" t="s">
        <v>193</v>
      </c>
      <c r="B235" t="s">
        <v>695</v>
      </c>
      <c r="C235">
        <v>28.85</v>
      </c>
      <c r="D235" s="13">
        <f t="shared" si="6"/>
        <v>28850000000</v>
      </c>
      <c r="E235">
        <f t="shared" si="7"/>
        <v>3.3270482681474049E-3</v>
      </c>
    </row>
    <row r="236" spans="1:5" x14ac:dyDescent="0.35">
      <c r="A236" t="s">
        <v>301</v>
      </c>
      <c r="B236" t="s">
        <v>798</v>
      </c>
      <c r="C236">
        <v>8.36</v>
      </c>
      <c r="D236" s="13">
        <f t="shared" si="6"/>
        <v>8359999999.999999</v>
      </c>
      <c r="E236">
        <f t="shared" si="7"/>
        <v>9.6409440283231555E-4</v>
      </c>
    </row>
    <row r="237" spans="1:5" x14ac:dyDescent="0.35">
      <c r="A237" t="s">
        <v>504</v>
      </c>
      <c r="B237" t="s">
        <v>988</v>
      </c>
      <c r="C237">
        <v>12.57</v>
      </c>
      <c r="D237" s="13">
        <f t="shared" si="6"/>
        <v>12570000000</v>
      </c>
      <c r="E237">
        <f t="shared" si="7"/>
        <v>1.4496012731581589E-3</v>
      </c>
    </row>
    <row r="238" spans="1:5" x14ac:dyDescent="0.35">
      <c r="A238" t="s">
        <v>447</v>
      </c>
      <c r="B238" t="s">
        <v>938</v>
      </c>
      <c r="C238">
        <v>5.47</v>
      </c>
      <c r="D238" s="13">
        <f t="shared" si="6"/>
        <v>5470000000</v>
      </c>
      <c r="E238">
        <f t="shared" si="7"/>
        <v>6.3081296453262761E-4</v>
      </c>
    </row>
    <row r="239" spans="1:5" x14ac:dyDescent="0.35">
      <c r="A239" t="s">
        <v>385</v>
      </c>
      <c r="B239" t="s">
        <v>881</v>
      </c>
      <c r="C239">
        <v>8.94</v>
      </c>
      <c r="D239" s="13">
        <f t="shared" si="6"/>
        <v>8940000000</v>
      </c>
      <c r="E239">
        <f t="shared" si="7"/>
        <v>1.0309813350862322E-3</v>
      </c>
    </row>
    <row r="240" spans="1:5" x14ac:dyDescent="0.35">
      <c r="A240" t="s">
        <v>476</v>
      </c>
      <c r="B240" t="s">
        <v>962</v>
      </c>
      <c r="C240">
        <v>9.6199999999999992</v>
      </c>
      <c r="D240" s="13">
        <f t="shared" si="6"/>
        <v>9620000000</v>
      </c>
      <c r="E240">
        <f t="shared" si="7"/>
        <v>1.1094004970391E-3</v>
      </c>
    </row>
    <row r="241" spans="1:5" x14ac:dyDescent="0.35">
      <c r="A241" t="s">
        <v>13</v>
      </c>
      <c r="B241" t="s">
        <v>524</v>
      </c>
      <c r="C241">
        <v>2.5299999999999998</v>
      </c>
      <c r="D241" s="13">
        <f t="shared" si="6"/>
        <v>2530000000</v>
      </c>
      <c r="E241">
        <f t="shared" si="7"/>
        <v>2.9176541138346395E-4</v>
      </c>
    </row>
    <row r="242" spans="1:5" x14ac:dyDescent="0.35">
      <c r="A242" t="s">
        <v>14</v>
      </c>
      <c r="B242" t="s">
        <v>525</v>
      </c>
      <c r="C242">
        <v>20.71</v>
      </c>
      <c r="D242" s="13">
        <f t="shared" si="6"/>
        <v>20710000000</v>
      </c>
      <c r="E242">
        <f t="shared" si="7"/>
        <v>2.3883247706527819E-3</v>
      </c>
    </row>
    <row r="243" spans="1:5" x14ac:dyDescent="0.35">
      <c r="A243" t="s">
        <v>405</v>
      </c>
      <c r="B243" t="s">
        <v>900</v>
      </c>
      <c r="C243">
        <v>3.1</v>
      </c>
      <c r="D243" s="13">
        <f t="shared" si="6"/>
        <v>3100000000</v>
      </c>
      <c r="E243">
        <f t="shared" si="7"/>
        <v>3.5749912066748544E-4</v>
      </c>
    </row>
    <row r="244" spans="1:5" x14ac:dyDescent="0.35">
      <c r="A244" t="s">
        <v>225</v>
      </c>
      <c r="B244" t="s">
        <v>726</v>
      </c>
      <c r="C244">
        <v>38.92</v>
      </c>
      <c r="D244" s="13">
        <f t="shared" si="6"/>
        <v>38920000000</v>
      </c>
      <c r="E244">
        <f t="shared" si="7"/>
        <v>4.4883437988317851E-3</v>
      </c>
    </row>
    <row r="245" spans="1:5" x14ac:dyDescent="0.35">
      <c r="A245" t="s">
        <v>212</v>
      </c>
      <c r="B245" t="s">
        <v>714</v>
      </c>
      <c r="C245">
        <v>7.26</v>
      </c>
      <c r="D245" s="13">
        <f t="shared" si="6"/>
        <v>7260000000</v>
      </c>
      <c r="E245">
        <f t="shared" si="7"/>
        <v>8.3723987614385304E-4</v>
      </c>
    </row>
    <row r="246" spans="1:5" x14ac:dyDescent="0.35">
      <c r="A246" t="s">
        <v>16</v>
      </c>
      <c r="B246" t="s">
        <v>527</v>
      </c>
      <c r="C246">
        <v>33.71</v>
      </c>
      <c r="D246" s="13">
        <f t="shared" si="6"/>
        <v>33710000000</v>
      </c>
      <c r="E246">
        <f t="shared" si="7"/>
        <v>3.8875146315164306E-3</v>
      </c>
    </row>
    <row r="247" spans="1:5" x14ac:dyDescent="0.35">
      <c r="A247" t="s">
        <v>83</v>
      </c>
      <c r="B247" t="s">
        <v>587</v>
      </c>
      <c r="C247">
        <v>11.02</v>
      </c>
      <c r="D247" s="13">
        <f t="shared" si="6"/>
        <v>11020000000</v>
      </c>
      <c r="E247">
        <f t="shared" si="7"/>
        <v>1.270851712824416E-3</v>
      </c>
    </row>
    <row r="248" spans="1:5" x14ac:dyDescent="0.35">
      <c r="A248" t="s">
        <v>20</v>
      </c>
      <c r="B248" t="s">
        <v>531</v>
      </c>
      <c r="C248">
        <v>11.84</v>
      </c>
      <c r="D248" s="13">
        <f t="shared" si="6"/>
        <v>11840000000</v>
      </c>
      <c r="E248">
        <f t="shared" si="7"/>
        <v>1.3654159963558154E-3</v>
      </c>
    </row>
    <row r="249" spans="1:5" x14ac:dyDescent="0.35">
      <c r="A249" t="s">
        <v>414</v>
      </c>
      <c r="B249" t="s">
        <v>909</v>
      </c>
      <c r="C249">
        <v>13.49</v>
      </c>
      <c r="D249" s="13">
        <f t="shared" si="6"/>
        <v>13490000000</v>
      </c>
      <c r="E249">
        <f t="shared" si="7"/>
        <v>1.5556977863885092E-3</v>
      </c>
    </row>
    <row r="250" spans="1:5" x14ac:dyDescent="0.35">
      <c r="A250" t="s">
        <v>477</v>
      </c>
      <c r="B250" t="s">
        <v>963</v>
      </c>
      <c r="C250">
        <v>13.03</v>
      </c>
      <c r="D250" s="13">
        <f t="shared" si="6"/>
        <v>13030000000</v>
      </c>
      <c r="E250">
        <f t="shared" si="7"/>
        <v>1.5026495297733339E-3</v>
      </c>
    </row>
    <row r="251" spans="1:5" x14ac:dyDescent="0.35">
      <c r="A251" t="s">
        <v>205</v>
      </c>
      <c r="B251" t="s">
        <v>707</v>
      </c>
      <c r="C251">
        <v>11.07</v>
      </c>
      <c r="D251" s="13">
        <f t="shared" si="6"/>
        <v>11070000000</v>
      </c>
      <c r="E251">
        <f t="shared" si="7"/>
        <v>1.2766178276738915E-3</v>
      </c>
    </row>
    <row r="252" spans="1:5" x14ac:dyDescent="0.35">
      <c r="A252" t="s">
        <v>210</v>
      </c>
      <c r="B252" t="s">
        <v>712</v>
      </c>
      <c r="C252">
        <v>6.08</v>
      </c>
      <c r="D252" s="13">
        <f t="shared" si="6"/>
        <v>6080000000</v>
      </c>
      <c r="E252">
        <f t="shared" si="7"/>
        <v>7.0115956569622958E-4</v>
      </c>
    </row>
    <row r="253" spans="1:5" x14ac:dyDescent="0.35">
      <c r="A253" t="s">
        <v>344</v>
      </c>
      <c r="B253" t="s">
        <v>841</v>
      </c>
      <c r="C253">
        <v>9.4700000000000006</v>
      </c>
      <c r="D253" s="13">
        <f t="shared" si="6"/>
        <v>9470000000</v>
      </c>
      <c r="E253">
        <f t="shared" si="7"/>
        <v>1.0921021524906733E-3</v>
      </c>
    </row>
    <row r="254" spans="1:5" x14ac:dyDescent="0.35">
      <c r="A254" t="s">
        <v>480</v>
      </c>
      <c r="B254" t="s">
        <v>966</v>
      </c>
      <c r="C254">
        <v>26.54</v>
      </c>
      <c r="D254" s="13">
        <f t="shared" si="6"/>
        <v>26540000000</v>
      </c>
      <c r="E254">
        <f t="shared" si="7"/>
        <v>3.0606537621016335E-3</v>
      </c>
    </row>
    <row r="255" spans="1:5" x14ac:dyDescent="0.35">
      <c r="A255" t="s">
        <v>25</v>
      </c>
      <c r="B255" t="s">
        <v>536</v>
      </c>
      <c r="C255">
        <v>8.81</v>
      </c>
      <c r="D255" s="13">
        <f t="shared" si="6"/>
        <v>8810000000</v>
      </c>
      <c r="E255">
        <f t="shared" si="7"/>
        <v>1.0159894364775957E-3</v>
      </c>
    </row>
    <row r="256" spans="1:5" x14ac:dyDescent="0.35">
      <c r="A256" t="s">
        <v>129</v>
      </c>
      <c r="B256" t="s">
        <v>633</v>
      </c>
      <c r="C256">
        <v>18.38</v>
      </c>
      <c r="D256" s="13">
        <f t="shared" si="6"/>
        <v>18380000000</v>
      </c>
      <c r="E256">
        <f t="shared" si="7"/>
        <v>2.1196238186672201E-3</v>
      </c>
    </row>
    <row r="257" spans="1:5" x14ac:dyDescent="0.35">
      <c r="A257" t="s">
        <v>255</v>
      </c>
      <c r="B257" t="s">
        <v>753</v>
      </c>
      <c r="C257">
        <v>21.92</v>
      </c>
      <c r="D257" s="13">
        <f t="shared" si="6"/>
        <v>21920000000</v>
      </c>
      <c r="E257">
        <f t="shared" si="7"/>
        <v>2.5278647500100908E-3</v>
      </c>
    </row>
    <row r="258" spans="1:5" x14ac:dyDescent="0.35">
      <c r="A258" t="s">
        <v>425</v>
      </c>
      <c r="B258" t="s">
        <v>920</v>
      </c>
      <c r="C258">
        <v>23.95</v>
      </c>
      <c r="D258" s="13">
        <f t="shared" si="6"/>
        <v>23950000000</v>
      </c>
      <c r="E258">
        <f t="shared" si="7"/>
        <v>2.7619690128987988E-3</v>
      </c>
    </row>
    <row r="259" spans="1:5" x14ac:dyDescent="0.35">
      <c r="A259" t="s">
        <v>401</v>
      </c>
      <c r="B259" t="s">
        <v>897</v>
      </c>
      <c r="C259">
        <v>42.83</v>
      </c>
      <c r="D259" s="13">
        <f t="shared" ref="D259:D276" si="8">C259*1000000000</f>
        <v>42830000000</v>
      </c>
      <c r="E259">
        <f t="shared" ref="E259:E276" si="9">D259/$D$277</f>
        <v>4.9392539800607749E-3</v>
      </c>
    </row>
    <row r="260" spans="1:5" x14ac:dyDescent="0.35">
      <c r="A260" t="s">
        <v>465</v>
      </c>
      <c r="B260" t="s">
        <v>465</v>
      </c>
      <c r="C260">
        <v>9.84</v>
      </c>
      <c r="D260" s="13">
        <f t="shared" si="8"/>
        <v>9840000000</v>
      </c>
      <c r="E260">
        <f t="shared" si="9"/>
        <v>1.1347714023767926E-3</v>
      </c>
    </row>
    <row r="261" spans="1:5" x14ac:dyDescent="0.35">
      <c r="A261" t="s">
        <v>26</v>
      </c>
      <c r="B261" t="s">
        <v>537</v>
      </c>
      <c r="C261">
        <v>5.37</v>
      </c>
      <c r="D261" s="13">
        <f t="shared" si="8"/>
        <v>5370000000</v>
      </c>
      <c r="E261">
        <f t="shared" si="9"/>
        <v>6.1928073483367638E-4</v>
      </c>
    </row>
    <row r="262" spans="1:5" x14ac:dyDescent="0.35">
      <c r="A262" t="s">
        <v>287</v>
      </c>
      <c r="B262" t="s">
        <v>784</v>
      </c>
      <c r="C262">
        <v>28.1</v>
      </c>
      <c r="D262" s="13">
        <f t="shared" si="8"/>
        <v>28100000000</v>
      </c>
      <c r="E262">
        <f t="shared" si="9"/>
        <v>3.2405565454052712E-3</v>
      </c>
    </row>
    <row r="263" spans="1:5" x14ac:dyDescent="0.35">
      <c r="A263" t="s">
        <v>29</v>
      </c>
      <c r="B263" t="s">
        <v>539</v>
      </c>
      <c r="C263">
        <v>6.56</v>
      </c>
      <c r="D263" s="13">
        <f t="shared" si="8"/>
        <v>6560000000</v>
      </c>
      <c r="E263">
        <f t="shared" si="9"/>
        <v>7.5651426825119503E-4</v>
      </c>
    </row>
    <row r="264" spans="1:5" x14ac:dyDescent="0.35">
      <c r="A264" t="s">
        <v>33</v>
      </c>
      <c r="B264" t="s">
        <v>543</v>
      </c>
      <c r="C264">
        <v>7.24</v>
      </c>
      <c r="D264" s="13">
        <f t="shared" si="8"/>
        <v>7240000000</v>
      </c>
      <c r="E264">
        <f t="shared" si="9"/>
        <v>8.3493343020406285E-4</v>
      </c>
    </row>
    <row r="265" spans="1:5" x14ac:dyDescent="0.35">
      <c r="A265" t="s">
        <v>409</v>
      </c>
      <c r="B265" t="s">
        <v>904</v>
      </c>
      <c r="C265">
        <v>6.59</v>
      </c>
      <c r="D265" s="13">
        <f t="shared" si="8"/>
        <v>6590000000</v>
      </c>
      <c r="E265">
        <f t="shared" si="9"/>
        <v>7.5997393716088042E-4</v>
      </c>
    </row>
    <row r="266" spans="1:5" x14ac:dyDescent="0.35">
      <c r="A266" t="s">
        <v>111</v>
      </c>
      <c r="B266" t="s">
        <v>615</v>
      </c>
      <c r="C266">
        <v>17.260000000000002</v>
      </c>
      <c r="D266" s="13">
        <f t="shared" si="8"/>
        <v>17260000000</v>
      </c>
      <c r="E266">
        <f t="shared" si="9"/>
        <v>1.9904628460389673E-3</v>
      </c>
    </row>
    <row r="267" spans="1:5" x14ac:dyDescent="0.35">
      <c r="A267" t="s">
        <v>280</v>
      </c>
      <c r="B267" t="s">
        <v>778</v>
      </c>
      <c r="C267">
        <v>11.51</v>
      </c>
      <c r="D267" s="13">
        <f t="shared" si="8"/>
        <v>11510000000</v>
      </c>
      <c r="E267">
        <f t="shared" si="9"/>
        <v>1.3273596383492766E-3</v>
      </c>
    </row>
    <row r="268" spans="1:5" x14ac:dyDescent="0.35">
      <c r="A268" t="s">
        <v>417</v>
      </c>
      <c r="B268" t="s">
        <v>912</v>
      </c>
      <c r="C268">
        <v>22.06</v>
      </c>
      <c r="D268" s="13">
        <f t="shared" si="8"/>
        <v>22060000000</v>
      </c>
      <c r="E268">
        <f t="shared" si="9"/>
        <v>2.5440098715886223E-3</v>
      </c>
    </row>
    <row r="269" spans="1:5" x14ac:dyDescent="0.35">
      <c r="A269" t="s">
        <v>312</v>
      </c>
      <c r="B269" t="s">
        <v>809</v>
      </c>
      <c r="C269">
        <v>33.26</v>
      </c>
      <c r="D269" s="13">
        <f t="shared" si="8"/>
        <v>33259999999.999996</v>
      </c>
      <c r="E269">
        <f t="shared" si="9"/>
        <v>3.8356195978711499E-3</v>
      </c>
    </row>
    <row r="270" spans="1:5" x14ac:dyDescent="0.35">
      <c r="A270" t="s">
        <v>37</v>
      </c>
      <c r="B270" t="s">
        <v>547</v>
      </c>
      <c r="C270">
        <v>6.18</v>
      </c>
      <c r="D270" s="13">
        <f t="shared" si="8"/>
        <v>6180000000</v>
      </c>
      <c r="E270">
        <f t="shared" si="9"/>
        <v>7.1269179539518071E-4</v>
      </c>
    </row>
    <row r="271" spans="1:5" x14ac:dyDescent="0.35">
      <c r="A271" t="s">
        <v>460</v>
      </c>
      <c r="B271" t="s">
        <v>948</v>
      </c>
      <c r="C271">
        <v>17.91</v>
      </c>
      <c r="D271" s="13">
        <f t="shared" si="8"/>
        <v>17910000000</v>
      </c>
      <c r="E271">
        <f t="shared" si="9"/>
        <v>2.0654223390821499E-3</v>
      </c>
    </row>
    <row r="272" spans="1:5" x14ac:dyDescent="0.35">
      <c r="A272" t="s">
        <v>44</v>
      </c>
      <c r="B272" t="s">
        <v>554</v>
      </c>
      <c r="C272">
        <v>18.850000000000001</v>
      </c>
      <c r="D272" s="13">
        <f t="shared" si="8"/>
        <v>18850000000</v>
      </c>
      <c r="E272">
        <f t="shared" si="9"/>
        <v>2.1738252982522904E-3</v>
      </c>
    </row>
    <row r="273" spans="1:5" x14ac:dyDescent="0.35">
      <c r="A273" t="s">
        <v>246</v>
      </c>
      <c r="B273" t="s">
        <v>746</v>
      </c>
      <c r="C273">
        <v>9.65</v>
      </c>
      <c r="D273" s="13">
        <f t="shared" si="8"/>
        <v>9650000000</v>
      </c>
      <c r="E273">
        <f t="shared" si="9"/>
        <v>1.1128601659487853E-3</v>
      </c>
    </row>
    <row r="274" spans="1:5" x14ac:dyDescent="0.35">
      <c r="A274" t="s">
        <v>421</v>
      </c>
      <c r="B274" t="s">
        <v>916</v>
      </c>
      <c r="C274">
        <v>10.96</v>
      </c>
      <c r="D274" s="13">
        <f t="shared" si="8"/>
        <v>10960000000</v>
      </c>
      <c r="E274">
        <f t="shared" si="9"/>
        <v>1.2639323750050454E-3</v>
      </c>
    </row>
    <row r="275" spans="1:5" x14ac:dyDescent="0.35">
      <c r="A275" t="s">
        <v>47</v>
      </c>
      <c r="B275" t="s">
        <v>555</v>
      </c>
      <c r="C275">
        <v>8.33</v>
      </c>
      <c r="D275" s="13">
        <f t="shared" si="8"/>
        <v>8330000000</v>
      </c>
      <c r="E275">
        <f t="shared" si="9"/>
        <v>9.6063473392263028E-4</v>
      </c>
    </row>
    <row r="276" spans="1:5" ht="16" x14ac:dyDescent="0.5">
      <c r="A276" t="s">
        <v>228</v>
      </c>
      <c r="B276" t="s">
        <v>729</v>
      </c>
      <c r="C276">
        <v>29.76</v>
      </c>
      <c r="D276" s="20">
        <f t="shared" si="8"/>
        <v>29760000000</v>
      </c>
      <c r="E276" s="10">
        <f t="shared" si="9"/>
        <v>3.4319915584078604E-3</v>
      </c>
    </row>
    <row r="277" spans="1:5" x14ac:dyDescent="0.35">
      <c r="D277" s="14">
        <f>SUM(D2:D276)</f>
        <v>8671350000000</v>
      </c>
      <c r="E277" s="21">
        <f>SUM(E2:E276)</f>
        <v>0.99999999999999989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2F769-61E6-4386-9F37-50628A240608}">
  <sheetPr codeName="Sheet7"/>
  <dimension ref="A1:D28"/>
  <sheetViews>
    <sheetView topLeftCell="A4" workbookViewId="0">
      <selection activeCell="A24" sqref="A24:D28"/>
    </sheetView>
  </sheetViews>
  <sheetFormatPr defaultColWidth="8.81640625" defaultRowHeight="14.5" x14ac:dyDescent="0.35"/>
  <cols>
    <col min="4" max="4" width="17.81640625" customWidth="1"/>
  </cols>
  <sheetData>
    <row r="1" spans="1:4" x14ac:dyDescent="0.35">
      <c r="A1" t="s">
        <v>0</v>
      </c>
      <c r="B1" t="s">
        <v>1</v>
      </c>
      <c r="C1" t="s">
        <v>1034</v>
      </c>
      <c r="D1" t="s">
        <v>1035</v>
      </c>
    </row>
    <row r="2" spans="1:4" x14ac:dyDescent="0.35">
      <c r="A2" t="s">
        <v>1014</v>
      </c>
      <c r="B2" t="s">
        <v>1015</v>
      </c>
      <c r="C2">
        <v>0.16083</v>
      </c>
      <c r="D2" s="13">
        <f>C2*1000000000</f>
        <v>160830000</v>
      </c>
    </row>
    <row r="3" spans="1:4" x14ac:dyDescent="0.35">
      <c r="A3" t="s">
        <v>1016</v>
      </c>
      <c r="B3" t="s">
        <v>1017</v>
      </c>
      <c r="C3">
        <v>1.97</v>
      </c>
      <c r="D3" s="13">
        <f t="shared" ref="D3:D28" si="0">C3*1000000000</f>
        <v>1970000000</v>
      </c>
    </row>
    <row r="4" spans="1:4" x14ac:dyDescent="0.35">
      <c r="A4" t="s">
        <v>1018</v>
      </c>
      <c r="B4" t="s">
        <v>1019</v>
      </c>
      <c r="C4">
        <v>4.72</v>
      </c>
      <c r="D4" s="13">
        <f t="shared" si="0"/>
        <v>4720000000</v>
      </c>
    </row>
    <row r="5" spans="1:4" x14ac:dyDescent="0.35">
      <c r="A5" t="s">
        <v>1020</v>
      </c>
      <c r="B5" t="s">
        <v>1021</v>
      </c>
      <c r="C5">
        <v>13.68</v>
      </c>
      <c r="D5" s="13">
        <f t="shared" si="0"/>
        <v>13680000000</v>
      </c>
    </row>
    <row r="6" spans="1:4" x14ac:dyDescent="0.35">
      <c r="A6" t="s">
        <v>100</v>
      </c>
      <c r="B6" t="s">
        <v>604</v>
      </c>
      <c r="C6" t="s">
        <v>1022</v>
      </c>
      <c r="D6" s="13" t="e">
        <f t="shared" si="0"/>
        <v>#VALUE!</v>
      </c>
    </row>
    <row r="7" spans="1:4" x14ac:dyDescent="0.35">
      <c r="A7" t="s">
        <v>484</v>
      </c>
      <c r="B7" t="s">
        <v>485</v>
      </c>
      <c r="C7" t="s">
        <v>1022</v>
      </c>
      <c r="D7" s="13" t="e">
        <f t="shared" si="0"/>
        <v>#VALUE!</v>
      </c>
    </row>
    <row r="8" spans="1:4" x14ac:dyDescent="0.35">
      <c r="A8" t="s">
        <v>23</v>
      </c>
      <c r="B8" t="s">
        <v>534</v>
      </c>
      <c r="C8" t="s">
        <v>1022</v>
      </c>
      <c r="D8" s="13" t="e">
        <f t="shared" si="0"/>
        <v>#VALUE!</v>
      </c>
    </row>
    <row r="9" spans="1:4" x14ac:dyDescent="0.35">
      <c r="A9" t="s">
        <v>153</v>
      </c>
      <c r="B9" t="s">
        <v>657</v>
      </c>
      <c r="C9" t="s">
        <v>1022</v>
      </c>
      <c r="D9" s="13" t="e">
        <f t="shared" si="0"/>
        <v>#VALUE!</v>
      </c>
    </row>
    <row r="10" spans="1:4" x14ac:dyDescent="0.35">
      <c r="A10" t="s">
        <v>281</v>
      </c>
      <c r="B10" t="s">
        <v>779</v>
      </c>
      <c r="C10" t="s">
        <v>1022</v>
      </c>
      <c r="D10" s="13" t="e">
        <f t="shared" si="0"/>
        <v>#VALUE!</v>
      </c>
    </row>
    <row r="11" spans="1:4" x14ac:dyDescent="0.35">
      <c r="A11" t="s">
        <v>253</v>
      </c>
      <c r="B11" t="s">
        <v>751</v>
      </c>
      <c r="C11" t="s">
        <v>1022</v>
      </c>
      <c r="D11" s="13" t="e">
        <f t="shared" si="0"/>
        <v>#VALUE!</v>
      </c>
    </row>
    <row r="12" spans="1:4" x14ac:dyDescent="0.35">
      <c r="A12" t="s">
        <v>214</v>
      </c>
      <c r="B12" t="s">
        <v>716</v>
      </c>
      <c r="C12">
        <v>4.54</v>
      </c>
      <c r="D12" s="13">
        <f t="shared" si="0"/>
        <v>4540000000</v>
      </c>
    </row>
    <row r="13" spans="1:4" x14ac:dyDescent="0.35">
      <c r="A13" t="s">
        <v>45</v>
      </c>
      <c r="B13" t="s">
        <v>46</v>
      </c>
      <c r="C13" t="s">
        <v>1023</v>
      </c>
      <c r="D13" s="13" t="e">
        <f t="shared" si="0"/>
        <v>#VALUE!</v>
      </c>
    </row>
    <row r="14" spans="1:4" x14ac:dyDescent="0.35">
      <c r="A14" t="s">
        <v>63</v>
      </c>
      <c r="B14" t="s">
        <v>570</v>
      </c>
      <c r="C14">
        <v>20.91</v>
      </c>
      <c r="D14" s="13">
        <f t="shared" si="0"/>
        <v>20910000000</v>
      </c>
    </row>
    <row r="15" spans="1:4" x14ac:dyDescent="0.35">
      <c r="A15" t="s">
        <v>453</v>
      </c>
      <c r="B15" t="s">
        <v>454</v>
      </c>
      <c r="C15" t="s">
        <v>1023</v>
      </c>
      <c r="D15" s="13" t="e">
        <f t="shared" si="0"/>
        <v>#VALUE!</v>
      </c>
    </row>
    <row r="16" spans="1:4" x14ac:dyDescent="0.35">
      <c r="A16" t="s">
        <v>135</v>
      </c>
      <c r="B16" t="s">
        <v>639</v>
      </c>
      <c r="C16">
        <v>325.27999999999997</v>
      </c>
      <c r="D16" s="13">
        <f t="shared" si="0"/>
        <v>325280000000</v>
      </c>
    </row>
    <row r="17" spans="1:4" x14ac:dyDescent="0.35">
      <c r="A17" t="s">
        <v>5</v>
      </c>
      <c r="B17" t="s">
        <v>517</v>
      </c>
      <c r="C17" t="s">
        <v>1022</v>
      </c>
      <c r="D17" s="13" t="e">
        <f t="shared" si="0"/>
        <v>#VALUE!</v>
      </c>
    </row>
    <row r="18" spans="1:4" x14ac:dyDescent="0.35">
      <c r="A18" t="s">
        <v>289</v>
      </c>
      <c r="B18" t="s">
        <v>786</v>
      </c>
      <c r="C18" t="s">
        <v>1022</v>
      </c>
      <c r="D18" s="13" t="e">
        <f t="shared" si="0"/>
        <v>#VALUE!</v>
      </c>
    </row>
    <row r="19" spans="1:4" x14ac:dyDescent="0.35">
      <c r="A19" t="s">
        <v>191</v>
      </c>
      <c r="B19" t="s">
        <v>693</v>
      </c>
      <c r="C19" t="s">
        <v>1022</v>
      </c>
      <c r="D19" s="13" t="e">
        <f t="shared" si="0"/>
        <v>#VALUE!</v>
      </c>
    </row>
    <row r="20" spans="1:4" x14ac:dyDescent="0.35">
      <c r="A20" t="s">
        <v>72</v>
      </c>
      <c r="B20" t="s">
        <v>72</v>
      </c>
      <c r="C20" t="s">
        <v>1022</v>
      </c>
      <c r="D20" s="13" t="e">
        <f t="shared" si="0"/>
        <v>#VALUE!</v>
      </c>
    </row>
    <row r="21" spans="1:4" x14ac:dyDescent="0.35">
      <c r="A21" t="s">
        <v>73</v>
      </c>
      <c r="B21" t="s">
        <v>578</v>
      </c>
      <c r="C21" t="s">
        <v>1022</v>
      </c>
      <c r="D21" s="13" t="e">
        <f t="shared" si="0"/>
        <v>#VALUE!</v>
      </c>
    </row>
    <row r="22" spans="1:4" x14ac:dyDescent="0.35">
      <c r="A22" t="s">
        <v>248</v>
      </c>
      <c r="B22" t="s">
        <v>748</v>
      </c>
      <c r="C22" t="s">
        <v>1023</v>
      </c>
      <c r="D22" s="13" t="e">
        <f t="shared" si="0"/>
        <v>#VALUE!</v>
      </c>
    </row>
    <row r="23" spans="1:4" x14ac:dyDescent="0.35">
      <c r="A23" t="s">
        <v>184</v>
      </c>
      <c r="B23" t="s">
        <v>185</v>
      </c>
      <c r="C23" t="s">
        <v>1023</v>
      </c>
      <c r="D23" s="13" t="e">
        <f t="shared" si="0"/>
        <v>#VALUE!</v>
      </c>
    </row>
    <row r="24" spans="1:4" x14ac:dyDescent="0.35">
      <c r="A24" s="12" t="s">
        <v>1024</v>
      </c>
      <c r="B24" s="12" t="s">
        <v>1025</v>
      </c>
      <c r="C24" s="12">
        <v>10.77</v>
      </c>
      <c r="D24" s="13">
        <f t="shared" si="0"/>
        <v>10770000000</v>
      </c>
    </row>
    <row r="25" spans="1:4" x14ac:dyDescent="0.35">
      <c r="A25" s="12" t="s">
        <v>1026</v>
      </c>
      <c r="B25" s="12" t="s">
        <v>73</v>
      </c>
      <c r="C25" s="12" t="s">
        <v>1027</v>
      </c>
      <c r="D25" s="13" t="e">
        <f t="shared" si="0"/>
        <v>#VALUE!</v>
      </c>
    </row>
    <row r="26" spans="1:4" x14ac:dyDescent="0.35">
      <c r="A26" s="12" t="s">
        <v>1028</v>
      </c>
      <c r="B26" s="12" t="s">
        <v>1029</v>
      </c>
      <c r="C26" s="12">
        <v>528.16999999999996</v>
      </c>
      <c r="D26" s="13">
        <f t="shared" si="0"/>
        <v>528169999999.99994</v>
      </c>
    </row>
    <row r="27" spans="1:4" x14ac:dyDescent="0.35">
      <c r="A27" s="12" t="s">
        <v>1030</v>
      </c>
      <c r="B27" s="12" t="s">
        <v>1031</v>
      </c>
      <c r="C27" s="12">
        <v>7.89</v>
      </c>
      <c r="D27" s="13">
        <f t="shared" si="0"/>
        <v>7890000000</v>
      </c>
    </row>
    <row r="28" spans="1:4" x14ac:dyDescent="0.35">
      <c r="A28" s="12" t="s">
        <v>1032</v>
      </c>
      <c r="B28" s="12" t="s">
        <v>1033</v>
      </c>
      <c r="C28" s="12">
        <v>26.07</v>
      </c>
      <c r="D28" s="13">
        <f t="shared" si="0"/>
        <v>26070000000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DEMS</vt:lpstr>
      <vt:lpstr>REPUBS</vt:lpstr>
      <vt:lpstr>RESULTS</vt:lpstr>
      <vt:lpstr>Not Included</vt:lpstr>
      <vt:lpstr>D</vt:lpstr>
      <vt:lpstr>R</vt:lpstr>
      <vt:lpstr>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woods</dc:creator>
  <cp:lastModifiedBy>Potts, Brian (MSN)</cp:lastModifiedBy>
  <dcterms:created xsi:type="dcterms:W3CDTF">2021-05-28T20:46:41Z</dcterms:created>
  <dcterms:modified xsi:type="dcterms:W3CDTF">2021-10-03T20:04:21Z</dcterms:modified>
</cp:coreProperties>
</file>